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aitc-my.sharepoint.com/personal/cathyedwards_metasolutions_net/Documents/Desktop/FY27 EMIS Collections/Special Ed EMIS/FY27 Fall SPED EMIS/"/>
    </mc:Choice>
  </mc:AlternateContent>
  <xr:revisionPtr revIDLastSave="3" documentId="8_{C342F69D-F87B-441A-9C80-9E9FA314D5F3}" xr6:coauthVersionLast="47" xr6:coauthVersionMax="47" xr10:uidLastSave="{B4BDBE21-CE13-415B-9BC0-9F1A029A0BE8}"/>
  <bookViews>
    <workbookView xWindow="-108" yWindow="-108" windowWidth="23256" windowHeight="13896" xr2:uid="{D63245B4-DCEB-4706-A9E7-DD10796A935C}"/>
  </bookViews>
  <sheets>
    <sheet name="(FTED-003) FTE Adjustment044446" sheetId="1" r:id="rId1"/>
  </sheets>
  <definedNames>
    <definedName name="_xlnm._FilterDatabase" localSheetId="0" hidden="1">'(FTED-003) FTE Adjustment044446'!$A$1:$AA$61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B2" i="1"/>
  <c r="E2" i="1"/>
  <c r="I2" i="1"/>
  <c r="N2" i="1"/>
  <c r="O2" i="1"/>
  <c r="P2" i="1"/>
  <c r="S2" i="1"/>
  <c r="T2" i="1"/>
  <c r="U2" i="1"/>
  <c r="W2" i="1"/>
  <c r="X2" i="1"/>
  <c r="Y2" i="1"/>
  <c r="A3" i="1"/>
  <c r="B3" i="1"/>
  <c r="E3" i="1"/>
  <c r="I3" i="1"/>
  <c r="N3" i="1"/>
  <c r="O3" i="1"/>
  <c r="P3" i="1"/>
  <c r="S3" i="1"/>
  <c r="T3" i="1"/>
  <c r="U3" i="1"/>
  <c r="W3" i="1"/>
  <c r="X3" i="1"/>
  <c r="Y3" i="1"/>
  <c r="A4" i="1"/>
  <c r="B4" i="1"/>
  <c r="E4" i="1"/>
  <c r="I4" i="1"/>
  <c r="N4" i="1"/>
  <c r="O4" i="1"/>
  <c r="P4" i="1"/>
  <c r="S4" i="1"/>
  <c r="T4" i="1"/>
  <c r="U4" i="1"/>
  <c r="W4" i="1"/>
  <c r="X4" i="1"/>
  <c r="Y4" i="1"/>
  <c r="A5" i="1"/>
  <c r="B5" i="1"/>
  <c r="E5" i="1"/>
  <c r="I5" i="1"/>
  <c r="N5" i="1"/>
  <c r="O5" i="1"/>
  <c r="P5" i="1"/>
  <c r="S5" i="1"/>
  <c r="T5" i="1"/>
  <c r="U5" i="1"/>
  <c r="W5" i="1"/>
  <c r="X5" i="1"/>
  <c r="Y5" i="1"/>
  <c r="A6" i="1"/>
  <c r="B6" i="1"/>
  <c r="E6" i="1"/>
  <c r="I6" i="1"/>
  <c r="N6" i="1"/>
  <c r="O6" i="1"/>
  <c r="P6" i="1"/>
  <c r="S6" i="1"/>
  <c r="T6" i="1"/>
  <c r="U6" i="1"/>
  <c r="W6" i="1"/>
  <c r="X6" i="1"/>
  <c r="Y6" i="1"/>
  <c r="A7" i="1"/>
  <c r="B7" i="1"/>
  <c r="E7" i="1"/>
  <c r="I7" i="1"/>
  <c r="N7" i="1"/>
  <c r="O7" i="1"/>
  <c r="P7" i="1"/>
  <c r="S7" i="1"/>
  <c r="T7" i="1"/>
  <c r="U7" i="1"/>
  <c r="W7" i="1"/>
  <c r="X7" i="1"/>
  <c r="Y7" i="1"/>
  <c r="A8" i="1"/>
  <c r="B8" i="1"/>
  <c r="E8" i="1"/>
  <c r="I8" i="1"/>
  <c r="N8" i="1"/>
  <c r="O8" i="1"/>
  <c r="P8" i="1"/>
  <c r="S8" i="1"/>
  <c r="T8" i="1"/>
  <c r="U8" i="1"/>
  <c r="W8" i="1"/>
  <c r="X8" i="1"/>
  <c r="Y8" i="1"/>
  <c r="A9" i="1"/>
  <c r="B9" i="1"/>
  <c r="E9" i="1"/>
  <c r="I9" i="1"/>
  <c r="N9" i="1"/>
  <c r="O9" i="1"/>
  <c r="P9" i="1"/>
  <c r="S9" i="1"/>
  <c r="T9" i="1"/>
  <c r="U9" i="1"/>
  <c r="W9" i="1"/>
  <c r="X9" i="1"/>
  <c r="Y9" i="1"/>
  <c r="A10" i="1"/>
  <c r="B10" i="1"/>
  <c r="E10" i="1"/>
  <c r="I10" i="1"/>
  <c r="N10" i="1"/>
  <c r="O10" i="1"/>
  <c r="P10" i="1"/>
  <c r="S10" i="1"/>
  <c r="T10" i="1"/>
  <c r="U10" i="1"/>
  <c r="W10" i="1"/>
  <c r="X10" i="1"/>
  <c r="Y10" i="1"/>
  <c r="A11" i="1"/>
  <c r="B11" i="1"/>
  <c r="E11" i="1"/>
  <c r="I11" i="1"/>
  <c r="N11" i="1"/>
  <c r="O11" i="1"/>
  <c r="P11" i="1"/>
  <c r="S11" i="1"/>
  <c r="T11" i="1"/>
  <c r="U11" i="1"/>
  <c r="W11" i="1"/>
  <c r="X11" i="1"/>
  <c r="Y11" i="1"/>
  <c r="A12" i="1"/>
  <c r="B12" i="1"/>
  <c r="E12" i="1"/>
  <c r="I12" i="1"/>
  <c r="N12" i="1"/>
  <c r="O12" i="1"/>
  <c r="P12" i="1"/>
  <c r="S12" i="1"/>
  <c r="T12" i="1"/>
  <c r="U12" i="1"/>
  <c r="W12" i="1"/>
  <c r="X12" i="1"/>
  <c r="Y12" i="1"/>
  <c r="A13" i="1"/>
  <c r="B13" i="1"/>
  <c r="E13" i="1"/>
  <c r="I13" i="1"/>
  <c r="N13" i="1"/>
  <c r="O13" i="1"/>
  <c r="P13" i="1"/>
  <c r="S13" i="1"/>
  <c r="T13" i="1"/>
  <c r="U13" i="1"/>
  <c r="W13" i="1"/>
  <c r="X13" i="1"/>
  <c r="Y13" i="1"/>
  <c r="A14" i="1"/>
  <c r="B14" i="1"/>
  <c r="E14" i="1"/>
  <c r="I14" i="1"/>
  <c r="N14" i="1"/>
  <c r="O14" i="1"/>
  <c r="P14" i="1"/>
  <c r="S14" i="1"/>
  <c r="T14" i="1"/>
  <c r="U14" i="1"/>
  <c r="W14" i="1"/>
  <c r="X14" i="1"/>
  <c r="Y14" i="1"/>
  <c r="A15" i="1"/>
  <c r="B15" i="1"/>
  <c r="E15" i="1"/>
  <c r="I15" i="1"/>
  <c r="N15" i="1"/>
  <c r="O15" i="1"/>
  <c r="P15" i="1"/>
  <c r="S15" i="1"/>
  <c r="T15" i="1"/>
  <c r="U15" i="1"/>
  <c r="W15" i="1"/>
  <c r="X15" i="1"/>
  <c r="Y15" i="1"/>
  <c r="A16" i="1"/>
  <c r="B16" i="1"/>
  <c r="E16" i="1"/>
  <c r="I16" i="1"/>
  <c r="N16" i="1"/>
  <c r="O16" i="1"/>
  <c r="P16" i="1"/>
  <c r="S16" i="1"/>
  <c r="T16" i="1"/>
  <c r="U16" i="1"/>
  <c r="W16" i="1"/>
  <c r="X16" i="1"/>
  <c r="Y16" i="1"/>
  <c r="A17" i="1"/>
  <c r="B17" i="1"/>
  <c r="E17" i="1"/>
  <c r="I17" i="1"/>
  <c r="N17" i="1"/>
  <c r="O17" i="1"/>
  <c r="P17" i="1"/>
  <c r="S17" i="1"/>
  <c r="T17" i="1"/>
  <c r="W17" i="1"/>
  <c r="X17" i="1"/>
  <c r="A18" i="1"/>
  <c r="B18" i="1"/>
  <c r="E18" i="1"/>
  <c r="I18" i="1"/>
  <c r="N18" i="1"/>
  <c r="O18" i="1"/>
  <c r="P18" i="1"/>
  <c r="S18" i="1"/>
  <c r="T18" i="1"/>
  <c r="W18" i="1"/>
  <c r="X18" i="1"/>
  <c r="A19" i="1"/>
  <c r="B19" i="1"/>
  <c r="E19" i="1"/>
  <c r="I19" i="1"/>
  <c r="N19" i="1"/>
  <c r="O19" i="1"/>
  <c r="P19" i="1"/>
  <c r="S19" i="1"/>
  <c r="T19" i="1"/>
  <c r="W19" i="1"/>
  <c r="X19" i="1"/>
  <c r="A20" i="1"/>
  <c r="B20" i="1"/>
  <c r="E20" i="1"/>
  <c r="I20" i="1"/>
  <c r="N20" i="1"/>
  <c r="O20" i="1"/>
  <c r="P20" i="1"/>
  <c r="S20" i="1"/>
  <c r="T20" i="1"/>
  <c r="W20" i="1"/>
  <c r="X20" i="1"/>
  <c r="A21" i="1"/>
  <c r="B21" i="1"/>
  <c r="E21" i="1"/>
  <c r="I21" i="1"/>
  <c r="N21" i="1"/>
  <c r="O21" i="1"/>
  <c r="P21" i="1"/>
  <c r="S21" i="1"/>
  <c r="T21" i="1"/>
  <c r="W21" i="1"/>
  <c r="X21" i="1"/>
  <c r="A22" i="1"/>
  <c r="B22" i="1"/>
  <c r="E22" i="1"/>
  <c r="I22" i="1"/>
  <c r="N22" i="1"/>
  <c r="O22" i="1"/>
  <c r="P22" i="1"/>
  <c r="S22" i="1"/>
  <c r="T22" i="1"/>
  <c r="W22" i="1"/>
  <c r="X22" i="1"/>
  <c r="A23" i="1"/>
  <c r="B23" i="1"/>
  <c r="E23" i="1"/>
  <c r="I23" i="1"/>
  <c r="N23" i="1"/>
  <c r="O23" i="1"/>
  <c r="P23" i="1"/>
  <c r="S23" i="1"/>
  <c r="T23" i="1"/>
  <c r="W23" i="1"/>
  <c r="X23" i="1"/>
  <c r="A24" i="1"/>
  <c r="B24" i="1"/>
  <c r="E24" i="1"/>
  <c r="I24" i="1"/>
  <c r="N24" i="1"/>
  <c r="O24" i="1"/>
  <c r="P24" i="1"/>
  <c r="S24" i="1"/>
  <c r="T24" i="1"/>
  <c r="W24" i="1"/>
  <c r="X24" i="1"/>
  <c r="A25" i="1"/>
  <c r="B25" i="1"/>
  <c r="E25" i="1"/>
  <c r="I25" i="1"/>
  <c r="N25" i="1"/>
  <c r="O25" i="1"/>
  <c r="P25" i="1"/>
  <c r="S25" i="1"/>
  <c r="T25" i="1"/>
  <c r="W25" i="1"/>
  <c r="X25" i="1"/>
  <c r="A26" i="1"/>
  <c r="B26" i="1"/>
  <c r="E26" i="1"/>
  <c r="I26" i="1"/>
  <c r="N26" i="1"/>
  <c r="O26" i="1"/>
  <c r="P26" i="1"/>
  <c r="S26" i="1"/>
  <c r="T26" i="1"/>
  <c r="W26" i="1"/>
  <c r="X26" i="1"/>
  <c r="A27" i="1"/>
  <c r="B27" i="1"/>
  <c r="E27" i="1"/>
  <c r="I27" i="1"/>
  <c r="N27" i="1"/>
  <c r="O27" i="1"/>
  <c r="P27" i="1"/>
  <c r="S27" i="1"/>
  <c r="T27" i="1"/>
  <c r="U27" i="1"/>
  <c r="W27" i="1"/>
  <c r="X27" i="1"/>
  <c r="Y27" i="1"/>
  <c r="A28" i="1"/>
  <c r="B28" i="1"/>
  <c r="E28" i="1"/>
  <c r="I28" i="1"/>
  <c r="N28" i="1"/>
  <c r="O28" i="1"/>
  <c r="P28" i="1"/>
  <c r="S28" i="1"/>
  <c r="T28" i="1"/>
  <c r="W28" i="1"/>
  <c r="X28" i="1"/>
  <c r="A29" i="1"/>
  <c r="B29" i="1"/>
  <c r="E29" i="1"/>
  <c r="I29" i="1"/>
  <c r="N29" i="1"/>
  <c r="O29" i="1"/>
  <c r="P29" i="1"/>
  <c r="S29" i="1"/>
  <c r="T29" i="1"/>
  <c r="W29" i="1"/>
  <c r="X29" i="1"/>
  <c r="A30" i="1"/>
  <c r="B30" i="1"/>
  <c r="E30" i="1"/>
  <c r="I30" i="1"/>
  <c r="N30" i="1"/>
  <c r="O30" i="1"/>
  <c r="P30" i="1"/>
  <c r="S30" i="1"/>
  <c r="T30" i="1"/>
  <c r="W30" i="1"/>
  <c r="X30" i="1"/>
  <c r="A31" i="1"/>
  <c r="B31" i="1"/>
  <c r="E31" i="1"/>
  <c r="I31" i="1"/>
  <c r="N31" i="1"/>
  <c r="O31" i="1"/>
  <c r="P31" i="1"/>
  <c r="S31" i="1"/>
  <c r="T31" i="1"/>
  <c r="W31" i="1"/>
  <c r="X31" i="1"/>
  <c r="A32" i="1"/>
  <c r="B32" i="1"/>
  <c r="E32" i="1"/>
  <c r="I32" i="1"/>
  <c r="N32" i="1"/>
  <c r="O32" i="1"/>
  <c r="P32" i="1"/>
  <c r="S32" i="1"/>
  <c r="T32" i="1"/>
  <c r="W32" i="1"/>
  <c r="X32" i="1"/>
  <c r="A33" i="1"/>
  <c r="B33" i="1"/>
  <c r="E33" i="1"/>
  <c r="I33" i="1"/>
  <c r="N33" i="1"/>
  <c r="O33" i="1"/>
  <c r="P33" i="1"/>
  <c r="S33" i="1"/>
  <c r="T33" i="1"/>
  <c r="W33" i="1"/>
  <c r="X33" i="1"/>
  <c r="A34" i="1"/>
  <c r="B34" i="1"/>
  <c r="E34" i="1"/>
  <c r="I34" i="1"/>
  <c r="N34" i="1"/>
  <c r="O34" i="1"/>
  <c r="P34" i="1"/>
  <c r="S34" i="1"/>
  <c r="T34" i="1"/>
  <c r="W34" i="1"/>
  <c r="X34" i="1"/>
  <c r="A35" i="1"/>
  <c r="B35" i="1"/>
  <c r="E35" i="1"/>
  <c r="I35" i="1"/>
  <c r="N35" i="1"/>
  <c r="O35" i="1"/>
  <c r="P35" i="1"/>
  <c r="S35" i="1"/>
  <c r="T35" i="1"/>
  <c r="W35" i="1"/>
  <c r="X35" i="1"/>
  <c r="A36" i="1"/>
  <c r="B36" i="1"/>
  <c r="E36" i="1"/>
  <c r="I36" i="1"/>
  <c r="N36" i="1"/>
  <c r="O36" i="1"/>
  <c r="P36" i="1"/>
  <c r="S36" i="1"/>
  <c r="T36" i="1"/>
  <c r="W36" i="1"/>
  <c r="X36" i="1"/>
  <c r="A37" i="1"/>
  <c r="B37" i="1"/>
  <c r="E37" i="1"/>
  <c r="I37" i="1"/>
  <c r="N37" i="1"/>
  <c r="O37" i="1"/>
  <c r="P37" i="1"/>
  <c r="S37" i="1"/>
  <c r="T37" i="1"/>
  <c r="W37" i="1"/>
  <c r="X37" i="1"/>
  <c r="A38" i="1"/>
  <c r="B38" i="1"/>
  <c r="E38" i="1"/>
  <c r="I38" i="1"/>
  <c r="N38" i="1"/>
  <c r="O38" i="1"/>
  <c r="P38" i="1"/>
  <c r="S38" i="1"/>
  <c r="T38" i="1"/>
  <c r="U38" i="1"/>
  <c r="W38" i="1"/>
  <c r="X38" i="1"/>
  <c r="Y38" i="1"/>
  <c r="A39" i="1"/>
  <c r="B39" i="1"/>
  <c r="E39" i="1"/>
  <c r="I39" i="1"/>
  <c r="N39" i="1"/>
  <c r="O39" i="1"/>
  <c r="P39" i="1"/>
  <c r="S39" i="1"/>
  <c r="T39" i="1"/>
  <c r="U39" i="1"/>
  <c r="W39" i="1"/>
  <c r="X39" i="1"/>
  <c r="Y39" i="1"/>
  <c r="A40" i="1"/>
  <c r="B40" i="1"/>
  <c r="E40" i="1"/>
  <c r="I40" i="1"/>
  <c r="N40" i="1"/>
  <c r="O40" i="1"/>
  <c r="P40" i="1"/>
  <c r="S40" i="1"/>
  <c r="T40" i="1"/>
  <c r="W40" i="1"/>
  <c r="X40" i="1"/>
  <c r="A41" i="1"/>
  <c r="B41" i="1"/>
  <c r="E41" i="1"/>
  <c r="I41" i="1"/>
  <c r="N41" i="1"/>
  <c r="O41" i="1"/>
  <c r="P41" i="1"/>
  <c r="S41" i="1"/>
  <c r="T41" i="1"/>
  <c r="W41" i="1"/>
  <c r="X41" i="1"/>
  <c r="A42" i="1"/>
  <c r="B42" i="1"/>
  <c r="E42" i="1"/>
  <c r="I42" i="1"/>
  <c r="N42" i="1"/>
  <c r="O42" i="1"/>
  <c r="P42" i="1"/>
  <c r="S42" i="1"/>
  <c r="T42" i="1"/>
  <c r="W42" i="1"/>
  <c r="X42" i="1"/>
  <c r="A43" i="1"/>
  <c r="B43" i="1"/>
  <c r="E43" i="1"/>
  <c r="I43" i="1"/>
  <c r="N43" i="1"/>
  <c r="O43" i="1"/>
  <c r="P43" i="1"/>
  <c r="S43" i="1"/>
  <c r="T43" i="1"/>
  <c r="W43" i="1"/>
  <c r="X43" i="1"/>
  <c r="A44" i="1"/>
  <c r="B44" i="1"/>
  <c r="E44" i="1"/>
  <c r="I44" i="1"/>
  <c r="N44" i="1"/>
  <c r="O44" i="1"/>
  <c r="P44" i="1"/>
  <c r="S44" i="1"/>
  <c r="T44" i="1"/>
  <c r="W44" i="1"/>
  <c r="X44" i="1"/>
  <c r="A45" i="1"/>
  <c r="B45" i="1"/>
  <c r="E45" i="1"/>
  <c r="I45" i="1"/>
  <c r="N45" i="1"/>
  <c r="O45" i="1"/>
  <c r="P45" i="1"/>
  <c r="S45" i="1"/>
  <c r="T45" i="1"/>
  <c r="W45" i="1"/>
  <c r="X45" i="1"/>
  <c r="A46" i="1"/>
  <c r="B46" i="1"/>
  <c r="E46" i="1"/>
  <c r="I46" i="1"/>
  <c r="N46" i="1"/>
  <c r="O46" i="1"/>
  <c r="P46" i="1"/>
  <c r="S46" i="1"/>
  <c r="T46" i="1"/>
  <c r="W46" i="1"/>
  <c r="X46" i="1"/>
  <c r="A47" i="1"/>
  <c r="B47" i="1"/>
  <c r="E47" i="1"/>
  <c r="I47" i="1"/>
  <c r="N47" i="1"/>
  <c r="O47" i="1"/>
  <c r="P47" i="1"/>
  <c r="S47" i="1"/>
  <c r="T47" i="1"/>
  <c r="W47" i="1"/>
  <c r="X47" i="1"/>
  <c r="A48" i="1"/>
  <c r="B48" i="1"/>
  <c r="E48" i="1"/>
  <c r="I48" i="1"/>
  <c r="N48" i="1"/>
  <c r="O48" i="1"/>
  <c r="P48" i="1"/>
  <c r="S48" i="1"/>
  <c r="T48" i="1"/>
  <c r="W48" i="1"/>
  <c r="X48" i="1"/>
  <c r="A49" i="1"/>
  <c r="B49" i="1"/>
  <c r="E49" i="1"/>
  <c r="I49" i="1"/>
  <c r="N49" i="1"/>
  <c r="O49" i="1"/>
  <c r="P49" i="1"/>
  <c r="S49" i="1"/>
  <c r="T49" i="1"/>
  <c r="W49" i="1"/>
  <c r="X49" i="1"/>
  <c r="A50" i="1"/>
  <c r="B50" i="1"/>
  <c r="E50" i="1"/>
  <c r="I50" i="1"/>
  <c r="N50" i="1"/>
  <c r="O50" i="1"/>
  <c r="P50" i="1"/>
  <c r="S50" i="1"/>
  <c r="T50" i="1"/>
  <c r="W50" i="1"/>
  <c r="X50" i="1"/>
  <c r="A51" i="1"/>
  <c r="B51" i="1"/>
  <c r="E51" i="1"/>
  <c r="I51" i="1"/>
  <c r="N51" i="1"/>
  <c r="O51" i="1"/>
  <c r="P51" i="1"/>
  <c r="S51" i="1"/>
  <c r="T51" i="1"/>
  <c r="W51" i="1"/>
  <c r="X51" i="1"/>
  <c r="A52" i="1"/>
  <c r="B52" i="1"/>
  <c r="E52" i="1"/>
  <c r="I52" i="1"/>
  <c r="N52" i="1"/>
  <c r="O52" i="1"/>
  <c r="P52" i="1"/>
  <c r="S52" i="1"/>
  <c r="T52" i="1"/>
  <c r="W52" i="1"/>
  <c r="X52" i="1"/>
  <c r="A53" i="1"/>
  <c r="B53" i="1"/>
  <c r="E53" i="1"/>
  <c r="I53" i="1"/>
  <c r="N53" i="1"/>
  <c r="O53" i="1"/>
  <c r="P53" i="1"/>
  <c r="S53" i="1"/>
  <c r="T53" i="1"/>
  <c r="W53" i="1"/>
  <c r="X53" i="1"/>
  <c r="A54" i="1"/>
  <c r="B54" i="1"/>
  <c r="E54" i="1"/>
  <c r="I54" i="1"/>
  <c r="N54" i="1"/>
  <c r="O54" i="1"/>
  <c r="P54" i="1"/>
  <c r="S54" i="1"/>
  <c r="T54" i="1"/>
  <c r="W54" i="1"/>
  <c r="X54" i="1"/>
  <c r="A55" i="1"/>
  <c r="B55" i="1"/>
  <c r="E55" i="1"/>
  <c r="I55" i="1"/>
  <c r="N55" i="1"/>
  <c r="O55" i="1"/>
  <c r="P55" i="1"/>
  <c r="S55" i="1"/>
  <c r="T55" i="1"/>
  <c r="W55" i="1"/>
  <c r="X55" i="1"/>
  <c r="A56" i="1"/>
  <c r="B56" i="1"/>
  <c r="E56" i="1"/>
  <c r="I56" i="1"/>
  <c r="N56" i="1"/>
  <c r="O56" i="1"/>
  <c r="P56" i="1"/>
  <c r="S56" i="1"/>
  <c r="T56" i="1"/>
  <c r="W56" i="1"/>
  <c r="X56" i="1"/>
  <c r="A57" i="1"/>
  <c r="B57" i="1"/>
  <c r="E57" i="1"/>
  <c r="I57" i="1"/>
  <c r="N57" i="1"/>
  <c r="O57" i="1"/>
  <c r="P57" i="1"/>
  <c r="S57" i="1"/>
  <c r="T57" i="1"/>
  <c r="W57" i="1"/>
  <c r="X57" i="1"/>
  <c r="A58" i="1"/>
  <c r="B58" i="1"/>
  <c r="E58" i="1"/>
  <c r="I58" i="1"/>
  <c r="N58" i="1"/>
  <c r="O58" i="1"/>
  <c r="P58" i="1"/>
  <c r="S58" i="1"/>
  <c r="T58" i="1"/>
  <c r="W58" i="1"/>
  <c r="X58" i="1"/>
  <c r="A59" i="1"/>
  <c r="B59" i="1"/>
  <c r="E59" i="1"/>
  <c r="N59" i="1"/>
  <c r="O59" i="1"/>
  <c r="S59" i="1"/>
  <c r="T59" i="1"/>
  <c r="U59" i="1"/>
  <c r="Y59" i="1"/>
  <c r="A60" i="1"/>
  <c r="B60" i="1"/>
  <c r="E60" i="1"/>
  <c r="N60" i="1"/>
  <c r="O60" i="1"/>
  <c r="S60" i="1"/>
  <c r="T60" i="1"/>
  <c r="U60" i="1"/>
  <c r="Y60" i="1"/>
  <c r="A61" i="1"/>
  <c r="B61" i="1"/>
  <c r="E61" i="1"/>
  <c r="N61" i="1"/>
  <c r="O61" i="1"/>
  <c r="S61" i="1"/>
  <c r="T61" i="1"/>
  <c r="U61" i="1"/>
  <c r="Y61" i="1"/>
</calcChain>
</file>

<file path=xl/sharedStrings.xml><?xml version="1.0" encoding="utf-8"?>
<sst xmlns="http://schemas.openxmlformats.org/spreadsheetml/2006/main" count="838" uniqueCount="273">
  <si>
    <t>RPT DEST IRN</t>
  </si>
  <si>
    <t>Bldg IRN</t>
  </si>
  <si>
    <t>SEVERITY CODE</t>
  </si>
  <si>
    <t>SSID</t>
  </si>
  <si>
    <t>Emis ID</t>
  </si>
  <si>
    <t>Last Name</t>
  </si>
  <si>
    <t>First Name</t>
  </si>
  <si>
    <t>Middle Name</t>
  </si>
  <si>
    <t>LEA IRN</t>
  </si>
  <si>
    <t>LEVEL 2 REC TYPE CODE</t>
  </si>
  <si>
    <t>RESULT CODE</t>
  </si>
  <si>
    <t>RESULT CODE DESCR</t>
  </si>
  <si>
    <t>FTE FUND PTTRN CODE</t>
  </si>
  <si>
    <t>ENRL START DATE</t>
  </si>
  <si>
    <t>ENRL END DATE</t>
  </si>
  <si>
    <t>LEGAL DIST OF RES IRN</t>
  </si>
  <si>
    <t>ORIG FTE</t>
  </si>
  <si>
    <t>ADJSTD FTE</t>
  </si>
  <si>
    <t>ADJSMNT START DATE</t>
  </si>
  <si>
    <t>ADJSMNT END DATE</t>
  </si>
  <si>
    <t>STATE EQUIV GRADE LEVEL CODE</t>
  </si>
  <si>
    <t>FTE INCL CODE</t>
  </si>
  <si>
    <t>CAL DIST IRN</t>
  </si>
  <si>
    <t>CAL BLDG IRN</t>
  </si>
  <si>
    <t>CAL GRADE LEVEL</t>
  </si>
  <si>
    <t>CAL ATTENDANCE PATTERN</t>
  </si>
  <si>
    <t>LEA TYPE</t>
  </si>
  <si>
    <t>W</t>
  </si>
  <si>
    <t>PN8609034</t>
  </si>
  <si>
    <t>Blake</t>
  </si>
  <si>
    <t>Jaxon</t>
  </si>
  <si>
    <t>Omar</t>
  </si>
  <si>
    <t>FTED-003</t>
  </si>
  <si>
    <t>FT0001</t>
  </si>
  <si>
    <t>Over One FTE</t>
  </si>
  <si>
    <t>RGJV</t>
  </si>
  <si>
    <t>FULL</t>
  </si>
  <si>
    <t>**</t>
  </si>
  <si>
    <t xml:space="preserve">Regular </t>
  </si>
  <si>
    <t>TT4834949</t>
  </si>
  <si>
    <t>Braglin</t>
  </si>
  <si>
    <t>Maci</t>
  </si>
  <si>
    <t>Nicole</t>
  </si>
  <si>
    <t>OPDD</t>
  </si>
  <si>
    <t>YI1553633</t>
  </si>
  <si>
    <t>Cook</t>
  </si>
  <si>
    <t>Tori</t>
  </si>
  <si>
    <t>Peyton</t>
  </si>
  <si>
    <t>QP2933429</t>
  </si>
  <si>
    <t>Jolley</t>
  </si>
  <si>
    <t>Camdyn</t>
  </si>
  <si>
    <t>YI1567331</t>
  </si>
  <si>
    <t>Kasler</t>
  </si>
  <si>
    <t>Braden</t>
  </si>
  <si>
    <t>Matthew</t>
  </si>
  <si>
    <t>CJ2706289</t>
  </si>
  <si>
    <t>Lowry</t>
  </si>
  <si>
    <t>Ashlee</t>
  </si>
  <si>
    <t>SY2776549</t>
  </si>
  <si>
    <t>Meade</t>
  </si>
  <si>
    <t>Silas</t>
  </si>
  <si>
    <t>Scott</t>
  </si>
  <si>
    <t>LZ5451247</t>
  </si>
  <si>
    <t>Pittman</t>
  </si>
  <si>
    <t>Avery</t>
  </si>
  <si>
    <t>Starr</t>
  </si>
  <si>
    <t>UI7846350</t>
  </si>
  <si>
    <t>Smith</t>
  </si>
  <si>
    <t>Kaylee</t>
  </si>
  <si>
    <t>Sue</t>
  </si>
  <si>
    <t>KO1461401</t>
  </si>
  <si>
    <t>Makayla</t>
  </si>
  <si>
    <t>KW3172688</t>
  </si>
  <si>
    <t>Burton</t>
  </si>
  <si>
    <t>Alexis</t>
  </si>
  <si>
    <t>LO2530394</t>
  </si>
  <si>
    <t>Huff</t>
  </si>
  <si>
    <t>Brantley</t>
  </si>
  <si>
    <t>Eugene</t>
  </si>
  <si>
    <t>WW6783065</t>
  </si>
  <si>
    <t>Alaric</t>
  </si>
  <si>
    <t>Cain</t>
  </si>
  <si>
    <t>MO9926999</t>
  </si>
  <si>
    <t>Falon</t>
  </si>
  <si>
    <t>Grant</t>
  </si>
  <si>
    <t>XY9815634</t>
  </si>
  <si>
    <t>Webb</t>
  </si>
  <si>
    <t>Elleigh</t>
  </si>
  <si>
    <t>Grace</t>
  </si>
  <si>
    <t>WD2499174</t>
  </si>
  <si>
    <t>Angle</t>
  </si>
  <si>
    <t>Rhett</t>
  </si>
  <si>
    <t>Samuel</t>
  </si>
  <si>
    <t>FT0032</t>
  </si>
  <si>
    <t>Not Eligible for Funding</t>
  </si>
  <si>
    <t>NFRG</t>
  </si>
  <si>
    <t>PS</t>
  </si>
  <si>
    <t>NONE</t>
  </si>
  <si>
    <t>P1</t>
  </si>
  <si>
    <t>DD8512266</t>
  </si>
  <si>
    <t>Bateman</t>
  </si>
  <si>
    <t>Amelia</t>
  </si>
  <si>
    <t>Jean</t>
  </si>
  <si>
    <t>EO8227137</t>
  </si>
  <si>
    <t>Benner</t>
  </si>
  <si>
    <t>Iris</t>
  </si>
  <si>
    <t>Violet</t>
  </si>
  <si>
    <t>IP3815468</t>
  </si>
  <si>
    <t>Blazer</t>
  </si>
  <si>
    <t>Elizabeth</t>
  </si>
  <si>
    <t>Marie</t>
  </si>
  <si>
    <t>PF9904129</t>
  </si>
  <si>
    <t>Chaffee</t>
  </si>
  <si>
    <t>Ian</t>
  </si>
  <si>
    <t>Michael</t>
  </si>
  <si>
    <t>NZ7178482</t>
  </si>
  <si>
    <t>Cox</t>
  </si>
  <si>
    <t>Cooper</t>
  </si>
  <si>
    <t>William</t>
  </si>
  <si>
    <t>NN5324869</t>
  </si>
  <si>
    <t>Dennis</t>
  </si>
  <si>
    <t>Griffin</t>
  </si>
  <si>
    <t>Arlo</t>
  </si>
  <si>
    <t>JP1509654</t>
  </si>
  <si>
    <t>Dille</t>
  </si>
  <si>
    <t>Theodore</t>
  </si>
  <si>
    <t>Alan</t>
  </si>
  <si>
    <t>SV5860007</t>
  </si>
  <si>
    <t>Freeman</t>
  </si>
  <si>
    <t>Vivian</t>
  </si>
  <si>
    <t>Eleanor</t>
  </si>
  <si>
    <t>ZM7634980</t>
  </si>
  <si>
    <t>Frost</t>
  </si>
  <si>
    <t>Lincoln</t>
  </si>
  <si>
    <t>Storm</t>
  </si>
  <si>
    <t>KA1886542</t>
  </si>
  <si>
    <t>Gilbraith</t>
  </si>
  <si>
    <t>Evelynn</t>
  </si>
  <si>
    <t>Eden</t>
  </si>
  <si>
    <t>YN5154762</t>
  </si>
  <si>
    <t>Grady</t>
  </si>
  <si>
    <t>Jahmeer</t>
  </si>
  <si>
    <t>Braylyn</t>
  </si>
  <si>
    <t>WX1880965</t>
  </si>
  <si>
    <t>Groenhof</t>
  </si>
  <si>
    <t>Dimitri</t>
  </si>
  <si>
    <t>Phoenix</t>
  </si>
  <si>
    <t>NO5168749</t>
  </si>
  <si>
    <t>Headlee</t>
  </si>
  <si>
    <t>VI4272102</t>
  </si>
  <si>
    <t>Howard</t>
  </si>
  <si>
    <t>Bo</t>
  </si>
  <si>
    <t>XW9631242</t>
  </si>
  <si>
    <t>Janiszewski</t>
  </si>
  <si>
    <t>Angela</t>
  </si>
  <si>
    <t>Charlotte</t>
  </si>
  <si>
    <t>PH7261842</t>
  </si>
  <si>
    <t>Jones</t>
  </si>
  <si>
    <t>Rain</t>
  </si>
  <si>
    <t>Evangeline Grace</t>
  </si>
  <si>
    <t>TF6544986</t>
  </si>
  <si>
    <t>Weston</t>
  </si>
  <si>
    <t>Robert</t>
  </si>
  <si>
    <t>QJ7246938</t>
  </si>
  <si>
    <t>Keiffer</t>
  </si>
  <si>
    <t>Rhoen</t>
  </si>
  <si>
    <t>Tyler</t>
  </si>
  <si>
    <t>UH5185215</t>
  </si>
  <si>
    <t>Kepp</t>
  </si>
  <si>
    <t>Nyla</t>
  </si>
  <si>
    <t>Kaisley-Ann</t>
  </si>
  <si>
    <t>KG</t>
  </si>
  <si>
    <t>K1</t>
  </si>
  <si>
    <t>JJ2677982</t>
  </si>
  <si>
    <t>Lehman</t>
  </si>
  <si>
    <t>Jeffrey</t>
  </si>
  <si>
    <t>Allan</t>
  </si>
  <si>
    <t>DY4519697</t>
  </si>
  <si>
    <t>Massie</t>
  </si>
  <si>
    <t>Brooklyn</t>
  </si>
  <si>
    <t>UF3606369</t>
  </si>
  <si>
    <t>Madelynn</t>
  </si>
  <si>
    <t>Paige</t>
  </si>
  <si>
    <t>QT8801257</t>
  </si>
  <si>
    <t>Xavier</t>
  </si>
  <si>
    <t>KV5743454</t>
  </si>
  <si>
    <t>McGill</t>
  </si>
  <si>
    <t>Theo</t>
  </si>
  <si>
    <t>Leroy Allen</t>
  </si>
  <si>
    <t>EO2017681</t>
  </si>
  <si>
    <t>McPherson</t>
  </si>
  <si>
    <t>Marleigh</t>
  </si>
  <si>
    <t>Olivine-Grace</t>
  </si>
  <si>
    <t>CU6720622</t>
  </si>
  <si>
    <t>Mendoza</t>
  </si>
  <si>
    <t>Alice</t>
  </si>
  <si>
    <t>Joelle</t>
  </si>
  <si>
    <t>TI5961534</t>
  </si>
  <si>
    <t>Murphy</t>
  </si>
  <si>
    <t>Sebastian</t>
  </si>
  <si>
    <t>Blaine</t>
  </si>
  <si>
    <t>GI1752845</t>
  </si>
  <si>
    <t>Newsome</t>
  </si>
  <si>
    <t>Declan</t>
  </si>
  <si>
    <t>P2</t>
  </si>
  <si>
    <t>FI9925437</t>
  </si>
  <si>
    <t>Olp</t>
  </si>
  <si>
    <t>August</t>
  </si>
  <si>
    <t>Silvanus</t>
  </si>
  <si>
    <t>AZ6897988</t>
  </si>
  <si>
    <t>Pargeon</t>
  </si>
  <si>
    <t>Timberlyn</t>
  </si>
  <si>
    <t>WM4007783</t>
  </si>
  <si>
    <t>Price</t>
  </si>
  <si>
    <t>Hunter</t>
  </si>
  <si>
    <t>Ryan Raylyn</t>
  </si>
  <si>
    <t>GE7998984</t>
  </si>
  <si>
    <t>Reed</t>
  </si>
  <si>
    <t>Jonathon</t>
  </si>
  <si>
    <t>GJ8907692</t>
  </si>
  <si>
    <t>Rogers</t>
  </si>
  <si>
    <t>Evelyn</t>
  </si>
  <si>
    <t>Lee</t>
  </si>
  <si>
    <t>NQ8867948</t>
  </si>
  <si>
    <t>Chloie</t>
  </si>
  <si>
    <t>NO5968601</t>
  </si>
  <si>
    <t>Stephenson</t>
  </si>
  <si>
    <t>Evalynn</t>
  </si>
  <si>
    <t>PL9528587</t>
  </si>
  <si>
    <t>Trask</t>
  </si>
  <si>
    <t>Joseph</t>
  </si>
  <si>
    <t>KQ5104367</t>
  </si>
  <si>
    <t>Warren</t>
  </si>
  <si>
    <t>Isabella</t>
  </si>
  <si>
    <t>Allayn</t>
  </si>
  <si>
    <t>NH1468940</t>
  </si>
  <si>
    <t>Washington</t>
  </si>
  <si>
    <t>Daeon</t>
  </si>
  <si>
    <t>Anthony</t>
  </si>
  <si>
    <t>GE9544012</t>
  </si>
  <si>
    <t>Waters</t>
  </si>
  <si>
    <t>Zoey</t>
  </si>
  <si>
    <t>Jade</t>
  </si>
  <si>
    <t>NQ5959581</t>
  </si>
  <si>
    <t>Williams</t>
  </si>
  <si>
    <t>Sophia</t>
  </si>
  <si>
    <t>Rayne</t>
  </si>
  <si>
    <t>ZQ4805256</t>
  </si>
  <si>
    <t>Wingfield</t>
  </si>
  <si>
    <t>Vaeda</t>
  </si>
  <si>
    <t>C</t>
  </si>
  <si>
    <t>ZA3312501</t>
  </si>
  <si>
    <t>Brooks</t>
  </si>
  <si>
    <t>Elliott</t>
  </si>
  <si>
    <t>FT0005</t>
  </si>
  <si>
    <t>Disability - no IEP</t>
  </si>
  <si>
    <t>SJ9307038</t>
  </si>
  <si>
    <t>Bullock</t>
  </si>
  <si>
    <t>Vadriquas</t>
  </si>
  <si>
    <t>JI7452101</t>
  </si>
  <si>
    <t>Karson</t>
  </si>
  <si>
    <t>First student example</t>
  </si>
  <si>
    <t>Looking at ODDEX, I can see this student doesn't have a RIEP reported after 9/24/2025 until the next RIEP reported being 9/17/2026.</t>
  </si>
  <si>
    <t>Second Student Example</t>
  </si>
  <si>
    <t>Because of the adjustment dates it appeast to be an IETR/IIEP gap - be careful, sometimes it is not as it appears - always verify that.</t>
  </si>
  <si>
    <t>Student had an IETR reported on 3/15/2024 and no IIEP reported. The next RIEP is being reported o 9/25/2026. Note that the end date is not a year minus a day for the end date.</t>
  </si>
  <si>
    <t>There was never an IIEP reported so the NIEP is not an option</t>
  </si>
  <si>
    <t>The student should have a NIEP event reported between 7/1/2025 and 9/17/2026 - if they were receiving services.</t>
  </si>
  <si>
    <t>From ODDEX</t>
  </si>
  <si>
    <t>From IC</t>
  </si>
  <si>
    <t>Third Student Example</t>
  </si>
  <si>
    <t>Student had a RIEP put in IC but it was not yet reported to DEW. It appears the document was last updated om 10/23 - likely being locked - and the last district collecton submission was 10/22. This should clear after the next collection submission - Level 2 reports take over night to update</t>
  </si>
  <si>
    <t>From Data Collector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</si>
</sst>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darkTrellis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33" borderId="0" xfId="0" applyFill="1"/>
    <xf numFmtId="0" fontId="0" fillId="34" borderId="10" xfId="0" applyFill="1" applyBorder="1" applyAlignment="1">
      <alignment wrapText="1"/>
    </xf>
    <xf numFmtId="0" fontId="0" fillId="34" borderId="11" xfId="0" applyFill="1" applyBorder="1" applyAlignment="1">
      <alignment wrapText="1"/>
    </xf>
    <xf numFmtId="0" fontId="0" fillId="34" borderId="12" xfId="0" applyFill="1" applyBorder="1"/>
    <xf numFmtId="0" fontId="0" fillId="34" borderId="13" xfId="0" applyFill="1" applyBorder="1"/>
    <xf numFmtId="0" fontId="0" fillId="34" borderId="14" xfId="0" applyFill="1" applyBorder="1"/>
    <xf numFmtId="0" fontId="0" fillId="34" borderId="15" xfId="0" applyFill="1" applyBorder="1"/>
    <xf numFmtId="0" fontId="0" fillId="34" borderId="16" xfId="0" applyFill="1" applyBorder="1"/>
    <xf numFmtId="0" fontId="0" fillId="34" borderId="17" xfId="0" applyFill="1" applyBorder="1"/>
    <xf numFmtId="0" fontId="16" fillId="0" borderId="0" xfId="0" applyFon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70</xdr:row>
      <xdr:rowOff>0</xdr:rowOff>
    </xdr:from>
    <xdr:to>
      <xdr:col>25</xdr:col>
      <xdr:colOff>551503</xdr:colOff>
      <xdr:row>79</xdr:row>
      <xdr:rowOff>59201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6CA725-D213-8751-69DE-D4C8780DF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9125" y="2905125"/>
          <a:ext cx="11057578" cy="168416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82</xdr:row>
      <xdr:rowOff>0</xdr:rowOff>
    </xdr:from>
    <xdr:to>
      <xdr:col>14</xdr:col>
      <xdr:colOff>282204</xdr:colOff>
      <xdr:row>90</xdr:row>
      <xdr:rowOff>133487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01EF5D-4C77-8282-0676-F61E218D8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39125" y="5076825"/>
          <a:ext cx="3048264" cy="158509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82</xdr:row>
      <xdr:rowOff>0</xdr:rowOff>
    </xdr:from>
    <xdr:to>
      <xdr:col>23</xdr:col>
      <xdr:colOff>326215</xdr:colOff>
      <xdr:row>91</xdr:row>
      <xdr:rowOff>2046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610153-ACC9-9A96-9AE1-5E9303987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72975" y="5076825"/>
          <a:ext cx="5303980" cy="163082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97</xdr:row>
      <xdr:rowOff>0</xdr:rowOff>
    </xdr:from>
    <xdr:to>
      <xdr:col>25</xdr:col>
      <xdr:colOff>244770</xdr:colOff>
      <xdr:row>113</xdr:row>
      <xdr:rowOff>167905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1D498FD-59BD-A69F-3285-BF6E2E4E8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39125" y="7610475"/>
          <a:ext cx="10737510" cy="305588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116</xdr:row>
      <xdr:rowOff>0</xdr:rowOff>
    </xdr:from>
    <xdr:to>
      <xdr:col>16</xdr:col>
      <xdr:colOff>360435</xdr:colOff>
      <xdr:row>128</xdr:row>
      <xdr:rowOff>129739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9870222-3E49-1502-49E1-8CF13FD2C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39125" y="11049000"/>
          <a:ext cx="4503810" cy="2293819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116</xdr:row>
      <xdr:rowOff>0</xdr:rowOff>
    </xdr:from>
    <xdr:to>
      <xdr:col>25</xdr:col>
      <xdr:colOff>284313</xdr:colOff>
      <xdr:row>124</xdr:row>
      <xdr:rowOff>167779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1936DAE-B3ED-6759-AC4D-FB18DCC68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620750" y="11049000"/>
          <a:ext cx="5403048" cy="160795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135</xdr:row>
      <xdr:rowOff>0</xdr:rowOff>
    </xdr:from>
    <xdr:to>
      <xdr:col>25</xdr:col>
      <xdr:colOff>160943</xdr:colOff>
      <xdr:row>141</xdr:row>
      <xdr:rowOff>7714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8A5ABEF-7438-ACD4-5515-08A0BBBA3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39125" y="14849475"/>
          <a:ext cx="10653683" cy="108975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143</xdr:row>
      <xdr:rowOff>0</xdr:rowOff>
    </xdr:from>
    <xdr:to>
      <xdr:col>15</xdr:col>
      <xdr:colOff>91748</xdr:colOff>
      <xdr:row>147</xdr:row>
      <xdr:rowOff>129615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0817DCF-5E67-73BC-466E-7F5E4D86D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39125" y="16297275"/>
          <a:ext cx="3558848" cy="861135"/>
        </a:xfrm>
        <a:prstGeom prst="rect">
          <a:avLst/>
        </a:prstGeom>
      </xdr:spPr>
    </xdr:pic>
    <xdr:clientData/>
  </xdr:twoCellAnchor>
  <xdr:twoCellAnchor editAs="oneCell">
    <xdr:from>
      <xdr:col>11</xdr:col>
      <xdr:colOff>962025</xdr:colOff>
      <xdr:row>148</xdr:row>
      <xdr:rowOff>9525</xdr:rowOff>
    </xdr:from>
    <xdr:to>
      <xdr:col>14</xdr:col>
      <xdr:colOff>331655</xdr:colOff>
      <xdr:row>153</xdr:row>
      <xdr:rowOff>59138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0B7D40C-E592-D0BA-C913-261E4B3CA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201150" y="17211675"/>
          <a:ext cx="2135690" cy="954488"/>
        </a:xfrm>
        <a:prstGeom prst="rect">
          <a:avLst/>
        </a:prstGeom>
      </xdr:spPr>
    </xdr:pic>
    <xdr:clientData/>
  </xdr:twoCellAnchor>
  <xdr:twoCellAnchor editAs="oneCell">
    <xdr:from>
      <xdr:col>18</xdr:col>
      <xdr:colOff>201930</xdr:colOff>
      <xdr:row>142</xdr:row>
      <xdr:rowOff>158115</xdr:rowOff>
    </xdr:from>
    <xdr:to>
      <xdr:col>25</xdr:col>
      <xdr:colOff>276674</xdr:colOff>
      <xdr:row>155</xdr:row>
      <xdr:rowOff>40198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1B21B35-6B6D-2C1F-47D7-9907E530F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822680" y="16274415"/>
          <a:ext cx="5189669" cy="2234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3673-E0AB-4F66-8FC3-B1BB123BA4D9}">
  <sheetPr filterMode="1"/>
  <dimension ref="A1:AA145"/>
  <sheetViews>
    <sheetView tabSelected="1" topLeftCell="G1" workbookViewId="0">
      <pane ySplit="1" topLeftCell="A83" activePane="bottomLeft" state="frozenSplit"/>
      <selection pane="bottomLeft" activeCell="P59" sqref="P59:P62"/>
    </sheetView>
  </sheetViews>
  <sheetFormatPr defaultRowHeight="14.4" x14ac:dyDescent="0.3"/>
  <cols>
    <col min="1" max="1" width="11" bestFit="1" customWidth="1"/>
    <col min="2" max="2" width="10.44140625" bestFit="1" customWidth="1"/>
    <col min="3" max="3" width="10.77734375" bestFit="1" customWidth="1"/>
    <col min="4" max="4" width="11.33203125" bestFit="1" customWidth="1"/>
    <col min="5" max="5" width="10" bestFit="1" customWidth="1"/>
    <col min="6" max="6" width="11.21875" bestFit="1" customWidth="1"/>
    <col min="7" max="7" width="9.88671875" bestFit="1" customWidth="1"/>
    <col min="8" max="8" width="15.6640625" bestFit="1" customWidth="1"/>
    <col min="9" max="9" width="9.5546875" bestFit="1" customWidth="1"/>
    <col min="10" max="10" width="10.88671875" bestFit="1" customWidth="1"/>
    <col min="11" max="11" width="9.33203125" bestFit="1" customWidth="1"/>
    <col min="12" max="12" width="21.21875" bestFit="1" customWidth="1"/>
    <col min="13" max="13" width="8.77734375" bestFit="1" customWidth="1"/>
    <col min="14" max="15" width="10.33203125" bestFit="1" customWidth="1"/>
    <col min="16" max="16" width="9.6640625" bestFit="1" customWidth="1"/>
    <col min="17" max="17" width="8.44140625" customWidth="1"/>
    <col min="18" max="18" width="9.6640625" bestFit="1" customWidth="1"/>
    <col min="19" max="19" width="13" bestFit="1" customWidth="1"/>
    <col min="20" max="20" width="11.5546875" bestFit="1" customWidth="1"/>
    <col min="21" max="21" width="9" bestFit="1" customWidth="1"/>
    <col min="22" max="23" width="10.44140625" bestFit="1" customWidth="1"/>
    <col min="24" max="24" width="11.109375" bestFit="1" customWidth="1"/>
    <col min="25" max="25" width="9" bestFit="1" customWidth="1"/>
    <col min="26" max="26" width="11" bestFit="1" customWidth="1"/>
    <col min="27" max="27" width="10.5546875" bestFit="1" customWidth="1"/>
  </cols>
  <sheetData>
    <row r="1" spans="1:27" s="1" customFormat="1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3" t="s">
        <v>18</v>
      </c>
      <c r="T1" s="4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idden="1" x14ac:dyDescent="0.3">
      <c r="A2" t="str">
        <f t="shared" ref="A2:A33" si="0">"044446"</f>
        <v>044446</v>
      </c>
      <c r="B2" t="str">
        <f t="shared" ref="B2:B11" si="1">"026567"</f>
        <v>026567</v>
      </c>
      <c r="C2" t="s">
        <v>27</v>
      </c>
      <c r="D2" t="s">
        <v>28</v>
      </c>
      <c r="E2" t="str">
        <f>"000230514"</f>
        <v>000230514</v>
      </c>
      <c r="F2" t="s">
        <v>29</v>
      </c>
      <c r="G2" t="s">
        <v>30</v>
      </c>
      <c r="H2" t="s">
        <v>31</v>
      </c>
      <c r="I2" t="str">
        <f t="shared" ref="I2:I33" si="2">"044446"</f>
        <v>044446</v>
      </c>
      <c r="J2" t="s">
        <v>32</v>
      </c>
      <c r="K2" t="s">
        <v>33</v>
      </c>
      <c r="L2" t="s">
        <v>34</v>
      </c>
      <c r="M2" t="s">
        <v>35</v>
      </c>
      <c r="N2" t="str">
        <f>"08/31/2026"</f>
        <v>08/31/2026</v>
      </c>
      <c r="O2" t="str">
        <f t="shared" ref="O2:O33" si="3">"12/31/2500"</f>
        <v>12/31/2500</v>
      </c>
      <c r="P2" t="str">
        <f>"044446"</f>
        <v>044446</v>
      </c>
      <c r="R2">
        <v>-3.3037999999999998E-2</v>
      </c>
      <c r="S2" t="str">
        <f>"08/31/2026"</f>
        <v>08/31/2026</v>
      </c>
      <c r="T2" t="str">
        <f t="shared" ref="T2:T33" si="4">"12/31/2500"</f>
        <v>12/31/2500</v>
      </c>
      <c r="U2" t="str">
        <f t="shared" ref="U2:U7" si="5">"11"</f>
        <v>11</v>
      </c>
      <c r="V2" t="s">
        <v>36</v>
      </c>
      <c r="W2" t="str">
        <f t="shared" ref="W2:X21" si="6">"044446"</f>
        <v>044446</v>
      </c>
      <c r="X2" t="str">
        <f t="shared" si="6"/>
        <v>044446</v>
      </c>
      <c r="Y2" t="str">
        <f t="shared" ref="Y2:Y7" si="7">"11"</f>
        <v>11</v>
      </c>
      <c r="Z2" t="s">
        <v>37</v>
      </c>
      <c r="AA2" t="s">
        <v>38</v>
      </c>
    </row>
    <row r="3" spans="1:27" hidden="1" x14ac:dyDescent="0.3">
      <c r="A3" t="str">
        <f t="shared" si="0"/>
        <v>044446</v>
      </c>
      <c r="B3" t="str">
        <f t="shared" si="1"/>
        <v>026567</v>
      </c>
      <c r="C3" t="s">
        <v>27</v>
      </c>
      <c r="D3" t="s">
        <v>39</v>
      </c>
      <c r="E3" t="str">
        <f>"000230728"</f>
        <v>000230728</v>
      </c>
      <c r="F3" t="s">
        <v>40</v>
      </c>
      <c r="G3" t="s">
        <v>41</v>
      </c>
      <c r="H3" t="s">
        <v>42</v>
      </c>
      <c r="I3" t="str">
        <f t="shared" si="2"/>
        <v>044446</v>
      </c>
      <c r="J3" t="s">
        <v>32</v>
      </c>
      <c r="K3" t="s">
        <v>33</v>
      </c>
      <c r="L3" t="s">
        <v>34</v>
      </c>
      <c r="M3" t="s">
        <v>43</v>
      </c>
      <c r="N3" t="str">
        <f>"09/09/2026"</f>
        <v>09/09/2026</v>
      </c>
      <c r="O3" t="str">
        <f t="shared" si="3"/>
        <v>12/31/2500</v>
      </c>
      <c r="P3" t="str">
        <f>"044248"</f>
        <v>044248</v>
      </c>
      <c r="R3">
        <v>-3.2074999999999999E-2</v>
      </c>
      <c r="S3" t="str">
        <f>"09/09/2026"</f>
        <v>09/09/2026</v>
      </c>
      <c r="T3" t="str">
        <f t="shared" si="4"/>
        <v>12/31/2500</v>
      </c>
      <c r="U3" t="str">
        <f t="shared" si="5"/>
        <v>11</v>
      </c>
      <c r="V3" t="s">
        <v>36</v>
      </c>
      <c r="W3" t="str">
        <f t="shared" si="6"/>
        <v>044446</v>
      </c>
      <c r="X3" t="str">
        <f t="shared" si="6"/>
        <v>044446</v>
      </c>
      <c r="Y3" t="str">
        <f t="shared" si="7"/>
        <v>11</v>
      </c>
      <c r="Z3" t="s">
        <v>37</v>
      </c>
      <c r="AA3" t="s">
        <v>38</v>
      </c>
    </row>
    <row r="4" spans="1:27" hidden="1" x14ac:dyDescent="0.3">
      <c r="A4" t="str">
        <f t="shared" si="0"/>
        <v>044446</v>
      </c>
      <c r="B4" t="str">
        <f t="shared" si="1"/>
        <v>026567</v>
      </c>
      <c r="C4" t="s">
        <v>27</v>
      </c>
      <c r="D4" t="s">
        <v>44</v>
      </c>
      <c r="E4" t="str">
        <f>"000230239"</f>
        <v>000230239</v>
      </c>
      <c r="F4" t="s">
        <v>45</v>
      </c>
      <c r="G4" t="s">
        <v>46</v>
      </c>
      <c r="H4" t="s">
        <v>47</v>
      </c>
      <c r="I4" t="str">
        <f t="shared" si="2"/>
        <v>044446</v>
      </c>
      <c r="J4" t="s">
        <v>32</v>
      </c>
      <c r="K4" t="s">
        <v>33</v>
      </c>
      <c r="L4" t="s">
        <v>34</v>
      </c>
      <c r="M4" t="s">
        <v>43</v>
      </c>
      <c r="N4" t="str">
        <f>"09/01/2026"</f>
        <v>09/01/2026</v>
      </c>
      <c r="O4" t="str">
        <f t="shared" si="3"/>
        <v>12/31/2500</v>
      </c>
      <c r="P4" t="str">
        <f>"045922"</f>
        <v>045922</v>
      </c>
      <c r="R4">
        <v>-3.2877000000000003E-2</v>
      </c>
      <c r="S4" t="str">
        <f>"09/01/2026"</f>
        <v>09/01/2026</v>
      </c>
      <c r="T4" t="str">
        <f t="shared" si="4"/>
        <v>12/31/2500</v>
      </c>
      <c r="U4" t="str">
        <f t="shared" si="5"/>
        <v>11</v>
      </c>
      <c r="V4" t="s">
        <v>36</v>
      </c>
      <c r="W4" t="str">
        <f t="shared" si="6"/>
        <v>044446</v>
      </c>
      <c r="X4" t="str">
        <f t="shared" si="6"/>
        <v>044446</v>
      </c>
      <c r="Y4" t="str">
        <f t="shared" si="7"/>
        <v>11</v>
      </c>
      <c r="Z4" t="s">
        <v>37</v>
      </c>
      <c r="AA4" t="s">
        <v>38</v>
      </c>
    </row>
    <row r="5" spans="1:27" hidden="1" x14ac:dyDescent="0.3">
      <c r="A5" t="str">
        <f t="shared" si="0"/>
        <v>044446</v>
      </c>
      <c r="B5" t="str">
        <f t="shared" si="1"/>
        <v>026567</v>
      </c>
      <c r="C5" t="s">
        <v>27</v>
      </c>
      <c r="D5" t="s">
        <v>48</v>
      </c>
      <c r="E5" t="str">
        <f>"000230521"</f>
        <v>000230521</v>
      </c>
      <c r="F5" t="s">
        <v>49</v>
      </c>
      <c r="G5" t="s">
        <v>50</v>
      </c>
      <c r="H5" t="s">
        <v>29</v>
      </c>
      <c r="I5" t="str">
        <f t="shared" si="2"/>
        <v>044446</v>
      </c>
      <c r="J5" t="s">
        <v>32</v>
      </c>
      <c r="K5" t="s">
        <v>33</v>
      </c>
      <c r="L5" t="s">
        <v>34</v>
      </c>
      <c r="M5" t="s">
        <v>35</v>
      </c>
      <c r="N5" t="str">
        <f>"08/26/2026"</f>
        <v>08/26/2026</v>
      </c>
      <c r="O5" t="str">
        <f t="shared" si="3"/>
        <v>12/31/2500</v>
      </c>
      <c r="P5" t="str">
        <f>"044446"</f>
        <v>044446</v>
      </c>
      <c r="R5">
        <v>-2.7932999999999999E-2</v>
      </c>
      <c r="S5" t="str">
        <f>"07/01/2026"</f>
        <v>07/01/2026</v>
      </c>
      <c r="T5" t="str">
        <f t="shared" si="4"/>
        <v>12/31/2500</v>
      </c>
      <c r="U5" t="str">
        <f t="shared" si="5"/>
        <v>11</v>
      </c>
      <c r="V5" t="s">
        <v>36</v>
      </c>
      <c r="W5" t="str">
        <f t="shared" si="6"/>
        <v>044446</v>
      </c>
      <c r="X5" t="str">
        <f t="shared" si="6"/>
        <v>044446</v>
      </c>
      <c r="Y5" t="str">
        <f t="shared" si="7"/>
        <v>11</v>
      </c>
      <c r="Z5" t="s">
        <v>37</v>
      </c>
      <c r="AA5" t="s">
        <v>38</v>
      </c>
    </row>
    <row r="6" spans="1:27" hidden="1" x14ac:dyDescent="0.3">
      <c r="A6" t="str">
        <f t="shared" si="0"/>
        <v>044446</v>
      </c>
      <c r="B6" t="str">
        <f t="shared" si="1"/>
        <v>026567</v>
      </c>
      <c r="C6" t="s">
        <v>27</v>
      </c>
      <c r="D6" t="s">
        <v>51</v>
      </c>
      <c r="E6" t="str">
        <f>"000230240"</f>
        <v>000230240</v>
      </c>
      <c r="F6" t="s">
        <v>52</v>
      </c>
      <c r="G6" t="s">
        <v>53</v>
      </c>
      <c r="H6" t="s">
        <v>54</v>
      </c>
      <c r="I6" t="str">
        <f t="shared" si="2"/>
        <v>044446</v>
      </c>
      <c r="J6" t="s">
        <v>32</v>
      </c>
      <c r="K6" t="s">
        <v>33</v>
      </c>
      <c r="L6" t="s">
        <v>34</v>
      </c>
      <c r="M6" t="s">
        <v>35</v>
      </c>
      <c r="N6" t="str">
        <f>"08/27/2026"</f>
        <v>08/27/2026</v>
      </c>
      <c r="O6" t="str">
        <f t="shared" si="3"/>
        <v>12/31/2500</v>
      </c>
      <c r="P6" t="str">
        <f>"044446"</f>
        <v>044446</v>
      </c>
      <c r="R6">
        <v>-3.3359E-2</v>
      </c>
      <c r="S6" t="str">
        <f>"08/27/2026"</f>
        <v>08/27/2026</v>
      </c>
      <c r="T6" t="str">
        <f t="shared" si="4"/>
        <v>12/31/2500</v>
      </c>
      <c r="U6" t="str">
        <f t="shared" si="5"/>
        <v>11</v>
      </c>
      <c r="V6" t="s">
        <v>36</v>
      </c>
      <c r="W6" t="str">
        <f t="shared" si="6"/>
        <v>044446</v>
      </c>
      <c r="X6" t="str">
        <f t="shared" si="6"/>
        <v>044446</v>
      </c>
      <c r="Y6" t="str">
        <f t="shared" si="7"/>
        <v>11</v>
      </c>
      <c r="Z6" t="s">
        <v>37</v>
      </c>
      <c r="AA6" t="s">
        <v>38</v>
      </c>
    </row>
    <row r="7" spans="1:27" hidden="1" x14ac:dyDescent="0.3">
      <c r="A7" t="str">
        <f t="shared" si="0"/>
        <v>044446</v>
      </c>
      <c r="B7" t="str">
        <f t="shared" si="1"/>
        <v>026567</v>
      </c>
      <c r="C7" t="s">
        <v>27</v>
      </c>
      <c r="D7" t="s">
        <v>55</v>
      </c>
      <c r="E7" t="str">
        <f>"000230849"</f>
        <v>000230849</v>
      </c>
      <c r="F7" t="s">
        <v>56</v>
      </c>
      <c r="G7" t="s">
        <v>57</v>
      </c>
      <c r="H7" t="s">
        <v>42</v>
      </c>
      <c r="I7" t="str">
        <f t="shared" si="2"/>
        <v>044446</v>
      </c>
      <c r="J7" t="s">
        <v>32</v>
      </c>
      <c r="K7" t="s">
        <v>33</v>
      </c>
      <c r="L7" t="s">
        <v>34</v>
      </c>
      <c r="M7" t="s">
        <v>35</v>
      </c>
      <c r="N7" t="str">
        <f>"08/26/2026"</f>
        <v>08/26/2026</v>
      </c>
      <c r="O7" t="str">
        <f t="shared" si="3"/>
        <v>12/31/2500</v>
      </c>
      <c r="P7" t="str">
        <f>"044446"</f>
        <v>044446</v>
      </c>
      <c r="R7">
        <v>-2.9059000000000001E-2</v>
      </c>
      <c r="S7" t="str">
        <f>"08/25/2026"</f>
        <v>08/25/2026</v>
      </c>
      <c r="T7" t="str">
        <f t="shared" si="4"/>
        <v>12/31/2500</v>
      </c>
      <c r="U7" t="str">
        <f t="shared" si="5"/>
        <v>11</v>
      </c>
      <c r="V7" t="s">
        <v>36</v>
      </c>
      <c r="W7" t="str">
        <f t="shared" si="6"/>
        <v>044446</v>
      </c>
      <c r="X7" t="str">
        <f t="shared" si="6"/>
        <v>044446</v>
      </c>
      <c r="Y7" t="str">
        <f t="shared" si="7"/>
        <v>11</v>
      </c>
      <c r="Z7" t="s">
        <v>37</v>
      </c>
      <c r="AA7" t="s">
        <v>38</v>
      </c>
    </row>
    <row r="8" spans="1:27" hidden="1" x14ac:dyDescent="0.3">
      <c r="A8" t="str">
        <f t="shared" si="0"/>
        <v>044446</v>
      </c>
      <c r="B8" t="str">
        <f t="shared" si="1"/>
        <v>026567</v>
      </c>
      <c r="C8" t="s">
        <v>27</v>
      </c>
      <c r="D8" t="s">
        <v>58</v>
      </c>
      <c r="E8" t="str">
        <f>"000232925"</f>
        <v>000232925</v>
      </c>
      <c r="F8" t="s">
        <v>59</v>
      </c>
      <c r="G8" t="s">
        <v>60</v>
      </c>
      <c r="H8" t="s">
        <v>61</v>
      </c>
      <c r="I8" t="str">
        <f t="shared" si="2"/>
        <v>044446</v>
      </c>
      <c r="J8" t="s">
        <v>32</v>
      </c>
      <c r="K8" t="s">
        <v>33</v>
      </c>
      <c r="L8" t="s">
        <v>34</v>
      </c>
      <c r="M8" t="s">
        <v>35</v>
      </c>
      <c r="N8" t="str">
        <f>"10/19/2026"</f>
        <v>10/19/2026</v>
      </c>
      <c r="O8" t="str">
        <f t="shared" si="3"/>
        <v>12/31/2500</v>
      </c>
      <c r="P8" t="str">
        <f>"044446"</f>
        <v>044446</v>
      </c>
      <c r="R8">
        <v>-3.2272000000000002E-2</v>
      </c>
      <c r="S8" t="str">
        <f>"10/19/2026"</f>
        <v>10/19/2026</v>
      </c>
      <c r="T8" t="str">
        <f t="shared" si="4"/>
        <v>12/31/2500</v>
      </c>
      <c r="U8" t="str">
        <f>"09"</f>
        <v>09</v>
      </c>
      <c r="V8" t="s">
        <v>36</v>
      </c>
      <c r="W8" t="str">
        <f t="shared" si="6"/>
        <v>044446</v>
      </c>
      <c r="X8" t="str">
        <f t="shared" si="6"/>
        <v>044446</v>
      </c>
      <c r="Y8" t="str">
        <f>"09"</f>
        <v>09</v>
      </c>
      <c r="Z8" t="s">
        <v>37</v>
      </c>
      <c r="AA8" t="s">
        <v>38</v>
      </c>
    </row>
    <row r="9" spans="1:27" hidden="1" x14ac:dyDescent="0.3">
      <c r="A9" t="str">
        <f t="shared" si="0"/>
        <v>044446</v>
      </c>
      <c r="B9" t="str">
        <f t="shared" si="1"/>
        <v>026567</v>
      </c>
      <c r="C9" t="s">
        <v>27</v>
      </c>
      <c r="D9" t="s">
        <v>62</v>
      </c>
      <c r="E9" t="str">
        <f>"000232616"</f>
        <v>000232616</v>
      </c>
      <c r="F9" t="s">
        <v>63</v>
      </c>
      <c r="G9" t="s">
        <v>64</v>
      </c>
      <c r="H9" t="s">
        <v>65</v>
      </c>
      <c r="I9" t="str">
        <f t="shared" si="2"/>
        <v>044446</v>
      </c>
      <c r="J9" t="s">
        <v>32</v>
      </c>
      <c r="K9" t="s">
        <v>33</v>
      </c>
      <c r="L9" t="s">
        <v>34</v>
      </c>
      <c r="M9" t="s">
        <v>35</v>
      </c>
      <c r="N9" t="str">
        <f>"08/26/2026"</f>
        <v>08/26/2026</v>
      </c>
      <c r="O9" t="str">
        <f t="shared" si="3"/>
        <v>12/31/2500</v>
      </c>
      <c r="P9" t="str">
        <f>"044446"</f>
        <v>044446</v>
      </c>
      <c r="R9">
        <v>-4.3478000000000003E-2</v>
      </c>
      <c r="S9" t="str">
        <f>"08/26/2026"</f>
        <v>08/26/2026</v>
      </c>
      <c r="T9" t="str">
        <f t="shared" si="4"/>
        <v>12/31/2500</v>
      </c>
      <c r="U9" t="str">
        <f>"10"</f>
        <v>10</v>
      </c>
      <c r="V9" t="s">
        <v>36</v>
      </c>
      <c r="W9" t="str">
        <f t="shared" si="6"/>
        <v>044446</v>
      </c>
      <c r="X9" t="str">
        <f t="shared" si="6"/>
        <v>044446</v>
      </c>
      <c r="Y9" t="str">
        <f>"10"</f>
        <v>10</v>
      </c>
      <c r="Z9" t="s">
        <v>37</v>
      </c>
      <c r="AA9" t="s">
        <v>38</v>
      </c>
    </row>
    <row r="10" spans="1:27" hidden="1" x14ac:dyDescent="0.3">
      <c r="A10" t="str">
        <f t="shared" si="0"/>
        <v>044446</v>
      </c>
      <c r="B10" t="str">
        <f t="shared" si="1"/>
        <v>026567</v>
      </c>
      <c r="C10" t="s">
        <v>27</v>
      </c>
      <c r="D10" t="s">
        <v>66</v>
      </c>
      <c r="E10" t="str">
        <f>"000232987"</f>
        <v>000232987</v>
      </c>
      <c r="F10" t="s">
        <v>67</v>
      </c>
      <c r="G10" t="s">
        <v>68</v>
      </c>
      <c r="H10" t="s">
        <v>69</v>
      </c>
      <c r="I10" t="str">
        <f t="shared" si="2"/>
        <v>044446</v>
      </c>
      <c r="J10" t="s">
        <v>32</v>
      </c>
      <c r="K10" t="s">
        <v>33</v>
      </c>
      <c r="L10" t="s">
        <v>34</v>
      </c>
      <c r="M10" t="s">
        <v>35</v>
      </c>
      <c r="N10" t="str">
        <f>"10/12/2026"</f>
        <v>10/12/2026</v>
      </c>
      <c r="O10" t="str">
        <f t="shared" si="3"/>
        <v>12/31/2500</v>
      </c>
      <c r="P10" t="str">
        <f>"050393"</f>
        <v>050393</v>
      </c>
      <c r="R10">
        <v>-1.5944E-2</v>
      </c>
      <c r="S10" t="str">
        <f>"10/12/2026"</f>
        <v>10/12/2026</v>
      </c>
      <c r="T10" t="str">
        <f t="shared" si="4"/>
        <v>12/31/2500</v>
      </c>
      <c r="U10" t="str">
        <f>"10"</f>
        <v>10</v>
      </c>
      <c r="V10" t="s">
        <v>36</v>
      </c>
      <c r="W10" t="str">
        <f t="shared" si="6"/>
        <v>044446</v>
      </c>
      <c r="X10" t="str">
        <f t="shared" si="6"/>
        <v>044446</v>
      </c>
      <c r="Y10" t="str">
        <f>"10"</f>
        <v>10</v>
      </c>
      <c r="Z10" t="s">
        <v>37</v>
      </c>
      <c r="AA10" t="s">
        <v>38</v>
      </c>
    </row>
    <row r="11" spans="1:27" hidden="1" x14ac:dyDescent="0.3">
      <c r="A11" t="str">
        <f t="shared" si="0"/>
        <v>044446</v>
      </c>
      <c r="B11" t="str">
        <f t="shared" si="1"/>
        <v>026567</v>
      </c>
      <c r="C11" t="s">
        <v>27</v>
      </c>
      <c r="D11" t="s">
        <v>70</v>
      </c>
      <c r="E11" t="str">
        <f>"000232986"</f>
        <v>000232986</v>
      </c>
      <c r="F11" t="s">
        <v>67</v>
      </c>
      <c r="G11" t="s">
        <v>71</v>
      </c>
      <c r="H11" t="s">
        <v>42</v>
      </c>
      <c r="I11" t="str">
        <f t="shared" si="2"/>
        <v>044446</v>
      </c>
      <c r="J11" t="s">
        <v>32</v>
      </c>
      <c r="K11" t="s">
        <v>33</v>
      </c>
      <c r="L11" t="s">
        <v>34</v>
      </c>
      <c r="M11" t="s">
        <v>35</v>
      </c>
      <c r="N11" t="str">
        <f>"10/12/2026"</f>
        <v>10/12/2026</v>
      </c>
      <c r="O11" t="str">
        <f t="shared" si="3"/>
        <v>12/31/2500</v>
      </c>
      <c r="P11" t="str">
        <f>"050393"</f>
        <v>050393</v>
      </c>
      <c r="R11">
        <v>-1.5944E-2</v>
      </c>
      <c r="S11" t="str">
        <f>"10/12/2026"</f>
        <v>10/12/2026</v>
      </c>
      <c r="T11" t="str">
        <f t="shared" si="4"/>
        <v>12/31/2500</v>
      </c>
      <c r="U11" t="str">
        <f>"09"</f>
        <v>09</v>
      </c>
      <c r="V11" t="s">
        <v>36</v>
      </c>
      <c r="W11" t="str">
        <f t="shared" si="6"/>
        <v>044446</v>
      </c>
      <c r="X11" t="str">
        <f t="shared" si="6"/>
        <v>044446</v>
      </c>
      <c r="Y11" t="str">
        <f>"09"</f>
        <v>09</v>
      </c>
      <c r="Z11" t="s">
        <v>37</v>
      </c>
      <c r="AA11" t="s">
        <v>38</v>
      </c>
    </row>
    <row r="12" spans="1:27" hidden="1" x14ac:dyDescent="0.3">
      <c r="A12" t="str">
        <f t="shared" si="0"/>
        <v>044446</v>
      </c>
      <c r="B12" t="str">
        <f>"026575"</f>
        <v>026575</v>
      </c>
      <c r="C12" t="s">
        <v>27</v>
      </c>
      <c r="D12" t="s">
        <v>72</v>
      </c>
      <c r="E12" t="str">
        <f>"000232960"</f>
        <v>000232960</v>
      </c>
      <c r="F12" t="s">
        <v>73</v>
      </c>
      <c r="G12" t="s">
        <v>74</v>
      </c>
      <c r="H12" t="s">
        <v>69</v>
      </c>
      <c r="I12" t="str">
        <f t="shared" si="2"/>
        <v>044446</v>
      </c>
      <c r="J12" t="s">
        <v>32</v>
      </c>
      <c r="K12" t="s">
        <v>33</v>
      </c>
      <c r="L12" t="s">
        <v>34</v>
      </c>
      <c r="M12" t="s">
        <v>35</v>
      </c>
      <c r="N12" t="str">
        <f>"08/26/2026"</f>
        <v>08/26/2026</v>
      </c>
      <c r="O12" t="str">
        <f t="shared" si="3"/>
        <v>12/31/2500</v>
      </c>
      <c r="P12" t="str">
        <f>"044446"</f>
        <v>044446</v>
      </c>
      <c r="R12">
        <v>-2.2959E-2</v>
      </c>
      <c r="S12" t="str">
        <f>"08/24/2026"</f>
        <v>08/24/2026</v>
      </c>
      <c r="T12" t="str">
        <f t="shared" si="4"/>
        <v>12/31/2500</v>
      </c>
      <c r="U12" t="str">
        <f>"07"</f>
        <v>07</v>
      </c>
      <c r="V12" t="s">
        <v>36</v>
      </c>
      <c r="W12" t="str">
        <f t="shared" si="6"/>
        <v>044446</v>
      </c>
      <c r="X12" t="str">
        <f t="shared" si="6"/>
        <v>044446</v>
      </c>
      <c r="Y12" t="str">
        <f>"07"</f>
        <v>07</v>
      </c>
      <c r="Z12" t="s">
        <v>37</v>
      </c>
      <c r="AA12" t="s">
        <v>38</v>
      </c>
    </row>
    <row r="13" spans="1:27" hidden="1" x14ac:dyDescent="0.3">
      <c r="A13" t="str">
        <f t="shared" si="0"/>
        <v>044446</v>
      </c>
      <c r="B13" t="str">
        <f>"026575"</f>
        <v>026575</v>
      </c>
      <c r="C13" t="s">
        <v>27</v>
      </c>
      <c r="D13" t="s">
        <v>75</v>
      </c>
      <c r="E13" t="str">
        <f>"000231834"</f>
        <v>000231834</v>
      </c>
      <c r="F13" t="s">
        <v>76</v>
      </c>
      <c r="G13" t="s">
        <v>77</v>
      </c>
      <c r="H13" t="s">
        <v>78</v>
      </c>
      <c r="I13" t="str">
        <f t="shared" si="2"/>
        <v>044446</v>
      </c>
      <c r="J13" t="s">
        <v>32</v>
      </c>
      <c r="K13" t="s">
        <v>33</v>
      </c>
      <c r="L13" t="s">
        <v>34</v>
      </c>
      <c r="M13" t="s">
        <v>35</v>
      </c>
      <c r="N13" t="str">
        <f>"10/07/2026"</f>
        <v>10/07/2026</v>
      </c>
      <c r="O13" t="str">
        <f t="shared" si="3"/>
        <v>12/31/2500</v>
      </c>
      <c r="P13" t="str">
        <f>"044446"</f>
        <v>044446</v>
      </c>
      <c r="R13">
        <v>-1.3195E-2</v>
      </c>
      <c r="S13" t="str">
        <f>"10/07/2026"</f>
        <v>10/07/2026</v>
      </c>
      <c r="T13" t="str">
        <f t="shared" si="4"/>
        <v>12/31/2500</v>
      </c>
      <c r="U13" t="str">
        <f>"06"</f>
        <v>06</v>
      </c>
      <c r="V13" t="s">
        <v>36</v>
      </c>
      <c r="W13" t="str">
        <f t="shared" si="6"/>
        <v>044446</v>
      </c>
      <c r="X13" t="str">
        <f t="shared" si="6"/>
        <v>044446</v>
      </c>
      <c r="Y13" t="str">
        <f>"06"</f>
        <v>06</v>
      </c>
      <c r="Z13" t="s">
        <v>37</v>
      </c>
      <c r="AA13" t="s">
        <v>38</v>
      </c>
    </row>
    <row r="14" spans="1:27" hidden="1" x14ac:dyDescent="0.3">
      <c r="A14" t="str">
        <f t="shared" si="0"/>
        <v>044446</v>
      </c>
      <c r="B14" t="str">
        <f>"026575"</f>
        <v>026575</v>
      </c>
      <c r="C14" t="s">
        <v>27</v>
      </c>
      <c r="D14" t="s">
        <v>79</v>
      </c>
      <c r="E14" t="str">
        <f>"000232923"</f>
        <v>000232923</v>
      </c>
      <c r="F14" t="s">
        <v>59</v>
      </c>
      <c r="G14" t="s">
        <v>80</v>
      </c>
      <c r="H14" t="s">
        <v>81</v>
      </c>
      <c r="I14" t="str">
        <f t="shared" si="2"/>
        <v>044446</v>
      </c>
      <c r="J14" t="s">
        <v>32</v>
      </c>
      <c r="K14" t="s">
        <v>33</v>
      </c>
      <c r="L14" t="s">
        <v>34</v>
      </c>
      <c r="M14" t="s">
        <v>35</v>
      </c>
      <c r="N14" t="str">
        <f>"10/19/2026"</f>
        <v>10/19/2026</v>
      </c>
      <c r="O14" t="str">
        <f t="shared" si="3"/>
        <v>12/31/2500</v>
      </c>
      <c r="P14" t="str">
        <f>"044446"</f>
        <v>044446</v>
      </c>
      <c r="R14">
        <v>-3.2273999999999997E-2</v>
      </c>
      <c r="S14" t="str">
        <f>"10/19/2026"</f>
        <v>10/19/2026</v>
      </c>
      <c r="T14" t="str">
        <f t="shared" si="4"/>
        <v>12/31/2500</v>
      </c>
      <c r="U14" t="str">
        <f>"06"</f>
        <v>06</v>
      </c>
      <c r="V14" t="s">
        <v>36</v>
      </c>
      <c r="W14" t="str">
        <f t="shared" si="6"/>
        <v>044446</v>
      </c>
      <c r="X14" t="str">
        <f t="shared" si="6"/>
        <v>044446</v>
      </c>
      <c r="Y14" t="str">
        <f>"06"</f>
        <v>06</v>
      </c>
      <c r="Z14" t="s">
        <v>37</v>
      </c>
      <c r="AA14" t="s">
        <v>38</v>
      </c>
    </row>
    <row r="15" spans="1:27" hidden="1" x14ac:dyDescent="0.3">
      <c r="A15" t="str">
        <f t="shared" si="0"/>
        <v>044446</v>
      </c>
      <c r="B15" t="str">
        <f>"026575"</f>
        <v>026575</v>
      </c>
      <c r="C15" t="s">
        <v>27</v>
      </c>
      <c r="D15" t="s">
        <v>82</v>
      </c>
      <c r="E15" t="str">
        <f>"000232924"</f>
        <v>000232924</v>
      </c>
      <c r="F15" t="s">
        <v>59</v>
      </c>
      <c r="G15" t="s">
        <v>83</v>
      </c>
      <c r="H15" t="s">
        <v>84</v>
      </c>
      <c r="I15" t="str">
        <f t="shared" si="2"/>
        <v>044446</v>
      </c>
      <c r="J15" t="s">
        <v>32</v>
      </c>
      <c r="K15" t="s">
        <v>33</v>
      </c>
      <c r="L15" t="s">
        <v>34</v>
      </c>
      <c r="M15" t="s">
        <v>35</v>
      </c>
      <c r="N15" t="str">
        <f>"10/19/2026"</f>
        <v>10/19/2026</v>
      </c>
      <c r="O15" t="str">
        <f t="shared" si="3"/>
        <v>12/31/2500</v>
      </c>
      <c r="P15" t="str">
        <f>"044446"</f>
        <v>044446</v>
      </c>
      <c r="R15">
        <v>-3.2273999999999997E-2</v>
      </c>
      <c r="S15" t="str">
        <f>"10/19/2026"</f>
        <v>10/19/2026</v>
      </c>
      <c r="T15" t="str">
        <f t="shared" si="4"/>
        <v>12/31/2500</v>
      </c>
      <c r="U15" t="str">
        <f>"08"</f>
        <v>08</v>
      </c>
      <c r="V15" t="s">
        <v>36</v>
      </c>
      <c r="W15" t="str">
        <f t="shared" si="6"/>
        <v>044446</v>
      </c>
      <c r="X15" t="str">
        <f t="shared" si="6"/>
        <v>044446</v>
      </c>
      <c r="Y15" t="str">
        <f>"08"</f>
        <v>08</v>
      </c>
      <c r="Z15" t="s">
        <v>37</v>
      </c>
      <c r="AA15" t="s">
        <v>38</v>
      </c>
    </row>
    <row r="16" spans="1:27" hidden="1" x14ac:dyDescent="0.3">
      <c r="A16" t="str">
        <f t="shared" si="0"/>
        <v>044446</v>
      </c>
      <c r="B16" t="str">
        <f>"026575"</f>
        <v>026575</v>
      </c>
      <c r="C16" t="s">
        <v>27</v>
      </c>
      <c r="D16" t="s">
        <v>85</v>
      </c>
      <c r="E16" t="str">
        <f>"000232959"</f>
        <v>000232959</v>
      </c>
      <c r="F16" t="s">
        <v>86</v>
      </c>
      <c r="G16" t="s">
        <v>87</v>
      </c>
      <c r="H16" t="s">
        <v>88</v>
      </c>
      <c r="I16" t="str">
        <f t="shared" si="2"/>
        <v>044446</v>
      </c>
      <c r="J16" t="s">
        <v>32</v>
      </c>
      <c r="K16" t="s">
        <v>33</v>
      </c>
      <c r="L16" t="s">
        <v>34</v>
      </c>
      <c r="M16" t="s">
        <v>43</v>
      </c>
      <c r="N16" t="str">
        <f>"08/26/2026"</f>
        <v>08/26/2026</v>
      </c>
      <c r="O16" t="str">
        <f t="shared" si="3"/>
        <v>12/31/2500</v>
      </c>
      <c r="P16" t="str">
        <f>"044248"</f>
        <v>044248</v>
      </c>
      <c r="R16">
        <v>-2.9394E-2</v>
      </c>
      <c r="S16" t="str">
        <f>"08/21/2026"</f>
        <v>08/21/2026</v>
      </c>
      <c r="T16" t="str">
        <f t="shared" si="4"/>
        <v>12/31/2500</v>
      </c>
      <c r="U16" t="str">
        <f>"06"</f>
        <v>06</v>
      </c>
      <c r="V16" t="s">
        <v>36</v>
      </c>
      <c r="W16" t="str">
        <f t="shared" si="6"/>
        <v>044446</v>
      </c>
      <c r="X16" t="str">
        <f t="shared" si="6"/>
        <v>044446</v>
      </c>
      <c r="Y16" t="str">
        <f>"06"</f>
        <v>06</v>
      </c>
      <c r="Z16" t="s">
        <v>37</v>
      </c>
      <c r="AA16" t="s">
        <v>38</v>
      </c>
    </row>
    <row r="17" spans="1:27" hidden="1" x14ac:dyDescent="0.3">
      <c r="A17" t="str">
        <f t="shared" si="0"/>
        <v>044446</v>
      </c>
      <c r="B17" t="str">
        <f t="shared" ref="B17:B58" si="8">"042440"</f>
        <v>042440</v>
      </c>
      <c r="C17" t="s">
        <v>27</v>
      </c>
      <c r="D17" t="s">
        <v>89</v>
      </c>
      <c r="E17" t="str">
        <f>"000232804"</f>
        <v>000232804</v>
      </c>
      <c r="F17" t="s">
        <v>90</v>
      </c>
      <c r="G17" t="s">
        <v>91</v>
      </c>
      <c r="H17" t="s">
        <v>92</v>
      </c>
      <c r="I17" t="str">
        <f t="shared" si="2"/>
        <v>044446</v>
      </c>
      <c r="J17" t="s">
        <v>32</v>
      </c>
      <c r="K17" t="s">
        <v>93</v>
      </c>
      <c r="L17" t="s">
        <v>94</v>
      </c>
      <c r="M17" t="s">
        <v>95</v>
      </c>
      <c r="N17" t="str">
        <f t="shared" ref="N17:N26" si="9">"08/31/2026"</f>
        <v>08/31/2026</v>
      </c>
      <c r="O17" t="str">
        <f t="shared" si="3"/>
        <v>12/31/2500</v>
      </c>
      <c r="P17" t="str">
        <f t="shared" ref="P17:P22" si="10">"044446"</f>
        <v>044446</v>
      </c>
      <c r="R17">
        <v>-1</v>
      </c>
      <c r="S17" t="str">
        <f>"07/01/2026"</f>
        <v>07/01/2026</v>
      </c>
      <c r="T17" t="str">
        <f t="shared" si="4"/>
        <v>12/31/2500</v>
      </c>
      <c r="U17" t="s">
        <v>96</v>
      </c>
      <c r="V17" t="s">
        <v>97</v>
      </c>
      <c r="W17" t="str">
        <f t="shared" si="6"/>
        <v>044446</v>
      </c>
      <c r="X17" t="str">
        <f t="shared" si="6"/>
        <v>044446</v>
      </c>
      <c r="Y17" t="s">
        <v>96</v>
      </c>
      <c r="Z17" t="s">
        <v>98</v>
      </c>
      <c r="AA17" t="s">
        <v>38</v>
      </c>
    </row>
    <row r="18" spans="1:27" hidden="1" x14ac:dyDescent="0.3">
      <c r="A18" t="str">
        <f t="shared" si="0"/>
        <v>044446</v>
      </c>
      <c r="B18" t="str">
        <f t="shared" si="8"/>
        <v>042440</v>
      </c>
      <c r="C18" t="s">
        <v>27</v>
      </c>
      <c r="D18" t="s">
        <v>99</v>
      </c>
      <c r="E18" t="str">
        <f>"000232875"</f>
        <v>000232875</v>
      </c>
      <c r="F18" t="s">
        <v>100</v>
      </c>
      <c r="G18" t="s">
        <v>101</v>
      </c>
      <c r="H18" t="s">
        <v>102</v>
      </c>
      <c r="I18" t="str">
        <f t="shared" si="2"/>
        <v>044446</v>
      </c>
      <c r="J18" t="s">
        <v>32</v>
      </c>
      <c r="K18" t="s">
        <v>93</v>
      </c>
      <c r="L18" t="s">
        <v>94</v>
      </c>
      <c r="M18" t="s">
        <v>95</v>
      </c>
      <c r="N18" t="str">
        <f t="shared" si="9"/>
        <v>08/31/2026</v>
      </c>
      <c r="O18" t="str">
        <f t="shared" si="3"/>
        <v>12/31/2500</v>
      </c>
      <c r="P18" t="str">
        <f t="shared" si="10"/>
        <v>044446</v>
      </c>
      <c r="R18">
        <v>-1</v>
      </c>
      <c r="S18" t="str">
        <f>"07/01/2026"</f>
        <v>07/01/2026</v>
      </c>
      <c r="T18" t="str">
        <f t="shared" si="4"/>
        <v>12/31/2500</v>
      </c>
      <c r="U18" t="s">
        <v>96</v>
      </c>
      <c r="V18" t="s">
        <v>97</v>
      </c>
      <c r="W18" t="str">
        <f t="shared" si="6"/>
        <v>044446</v>
      </c>
      <c r="X18" t="str">
        <f t="shared" si="6"/>
        <v>044446</v>
      </c>
      <c r="Y18" t="s">
        <v>96</v>
      </c>
      <c r="Z18" t="s">
        <v>98</v>
      </c>
      <c r="AA18" t="s">
        <v>38</v>
      </c>
    </row>
    <row r="19" spans="1:27" hidden="1" x14ac:dyDescent="0.3">
      <c r="A19" t="str">
        <f t="shared" si="0"/>
        <v>044446</v>
      </c>
      <c r="B19" t="str">
        <f t="shared" si="8"/>
        <v>042440</v>
      </c>
      <c r="C19" t="s">
        <v>27</v>
      </c>
      <c r="D19" t="s">
        <v>103</v>
      </c>
      <c r="E19" t="str">
        <f>"000232876"</f>
        <v>000232876</v>
      </c>
      <c r="F19" t="s">
        <v>104</v>
      </c>
      <c r="G19" t="s">
        <v>105</v>
      </c>
      <c r="H19" t="s">
        <v>106</v>
      </c>
      <c r="I19" t="str">
        <f t="shared" si="2"/>
        <v>044446</v>
      </c>
      <c r="J19" t="s">
        <v>32</v>
      </c>
      <c r="K19" t="s">
        <v>93</v>
      </c>
      <c r="L19" t="s">
        <v>94</v>
      </c>
      <c r="M19" t="s">
        <v>95</v>
      </c>
      <c r="N19" t="str">
        <f t="shared" si="9"/>
        <v>08/31/2026</v>
      </c>
      <c r="O19" t="str">
        <f t="shared" si="3"/>
        <v>12/31/2500</v>
      </c>
      <c r="P19" t="str">
        <f t="shared" si="10"/>
        <v>044446</v>
      </c>
      <c r="R19">
        <v>-1</v>
      </c>
      <c r="S19" t="str">
        <f>"07/01/2026"</f>
        <v>07/01/2026</v>
      </c>
      <c r="T19" t="str">
        <f t="shared" si="4"/>
        <v>12/31/2500</v>
      </c>
      <c r="U19" t="s">
        <v>96</v>
      </c>
      <c r="V19" t="s">
        <v>97</v>
      </c>
      <c r="W19" t="str">
        <f t="shared" si="6"/>
        <v>044446</v>
      </c>
      <c r="X19" t="str">
        <f t="shared" si="6"/>
        <v>044446</v>
      </c>
      <c r="Y19" t="s">
        <v>96</v>
      </c>
      <c r="Z19" t="s">
        <v>98</v>
      </c>
      <c r="AA19" t="s">
        <v>38</v>
      </c>
    </row>
    <row r="20" spans="1:27" hidden="1" x14ac:dyDescent="0.3">
      <c r="A20" t="str">
        <f t="shared" si="0"/>
        <v>044446</v>
      </c>
      <c r="B20" t="str">
        <f t="shared" si="8"/>
        <v>042440</v>
      </c>
      <c r="C20" t="s">
        <v>27</v>
      </c>
      <c r="D20" t="s">
        <v>107</v>
      </c>
      <c r="E20" t="str">
        <f>"000232877"</f>
        <v>000232877</v>
      </c>
      <c r="F20" t="s">
        <v>108</v>
      </c>
      <c r="G20" t="s">
        <v>109</v>
      </c>
      <c r="H20" t="s">
        <v>110</v>
      </c>
      <c r="I20" t="str">
        <f t="shared" si="2"/>
        <v>044446</v>
      </c>
      <c r="J20" t="s">
        <v>32</v>
      </c>
      <c r="K20" t="s">
        <v>93</v>
      </c>
      <c r="L20" t="s">
        <v>94</v>
      </c>
      <c r="M20" t="s">
        <v>95</v>
      </c>
      <c r="N20" t="str">
        <f t="shared" si="9"/>
        <v>08/31/2026</v>
      </c>
      <c r="O20" t="str">
        <f t="shared" si="3"/>
        <v>12/31/2500</v>
      </c>
      <c r="P20" t="str">
        <f t="shared" si="10"/>
        <v>044446</v>
      </c>
      <c r="R20">
        <v>-1</v>
      </c>
      <c r="S20" t="str">
        <f>"07/01/2026"</f>
        <v>07/01/2026</v>
      </c>
      <c r="T20" t="str">
        <f t="shared" si="4"/>
        <v>12/31/2500</v>
      </c>
      <c r="U20" t="s">
        <v>96</v>
      </c>
      <c r="V20" t="s">
        <v>97</v>
      </c>
      <c r="W20" t="str">
        <f t="shared" si="6"/>
        <v>044446</v>
      </c>
      <c r="X20" t="str">
        <f t="shared" si="6"/>
        <v>044446</v>
      </c>
      <c r="Y20" t="s">
        <v>96</v>
      </c>
      <c r="Z20" t="s">
        <v>98</v>
      </c>
      <c r="AA20" t="s">
        <v>38</v>
      </c>
    </row>
    <row r="21" spans="1:27" hidden="1" x14ac:dyDescent="0.3">
      <c r="A21" t="str">
        <f t="shared" si="0"/>
        <v>044446</v>
      </c>
      <c r="B21" t="str">
        <f t="shared" si="8"/>
        <v>042440</v>
      </c>
      <c r="C21" t="s">
        <v>27</v>
      </c>
      <c r="D21" t="s">
        <v>111</v>
      </c>
      <c r="E21" t="str">
        <f>"000232962"</f>
        <v>000232962</v>
      </c>
      <c r="F21" t="s">
        <v>112</v>
      </c>
      <c r="G21" t="s">
        <v>113</v>
      </c>
      <c r="H21" t="s">
        <v>114</v>
      </c>
      <c r="I21" t="str">
        <f t="shared" si="2"/>
        <v>044446</v>
      </c>
      <c r="J21" t="s">
        <v>32</v>
      </c>
      <c r="K21" t="s">
        <v>93</v>
      </c>
      <c r="L21" t="s">
        <v>94</v>
      </c>
      <c r="M21" t="s">
        <v>95</v>
      </c>
      <c r="N21" t="str">
        <f t="shared" si="9"/>
        <v>08/31/2026</v>
      </c>
      <c r="O21" t="str">
        <f t="shared" si="3"/>
        <v>12/31/2500</v>
      </c>
      <c r="P21" t="str">
        <f t="shared" si="10"/>
        <v>044446</v>
      </c>
      <c r="R21">
        <v>-1</v>
      </c>
      <c r="S21" t="str">
        <f>"08/25/2026"</f>
        <v>08/25/2026</v>
      </c>
      <c r="T21" t="str">
        <f t="shared" si="4"/>
        <v>12/31/2500</v>
      </c>
      <c r="U21" t="s">
        <v>96</v>
      </c>
      <c r="V21" t="s">
        <v>97</v>
      </c>
      <c r="W21" t="str">
        <f t="shared" si="6"/>
        <v>044446</v>
      </c>
      <c r="X21" t="str">
        <f t="shared" si="6"/>
        <v>044446</v>
      </c>
      <c r="Y21" t="s">
        <v>96</v>
      </c>
      <c r="Z21" t="s">
        <v>98</v>
      </c>
      <c r="AA21" t="s">
        <v>38</v>
      </c>
    </row>
    <row r="22" spans="1:27" hidden="1" x14ac:dyDescent="0.3">
      <c r="A22" t="str">
        <f t="shared" si="0"/>
        <v>044446</v>
      </c>
      <c r="B22" t="str">
        <f t="shared" si="8"/>
        <v>042440</v>
      </c>
      <c r="C22" t="s">
        <v>27</v>
      </c>
      <c r="D22" t="s">
        <v>115</v>
      </c>
      <c r="E22" t="str">
        <f>"000232879"</f>
        <v>000232879</v>
      </c>
      <c r="F22" t="s">
        <v>116</v>
      </c>
      <c r="G22" t="s">
        <v>117</v>
      </c>
      <c r="H22" t="s">
        <v>118</v>
      </c>
      <c r="I22" t="str">
        <f t="shared" si="2"/>
        <v>044446</v>
      </c>
      <c r="J22" t="s">
        <v>32</v>
      </c>
      <c r="K22" t="s">
        <v>93</v>
      </c>
      <c r="L22" t="s">
        <v>94</v>
      </c>
      <c r="M22" t="s">
        <v>95</v>
      </c>
      <c r="N22" t="str">
        <f t="shared" si="9"/>
        <v>08/31/2026</v>
      </c>
      <c r="O22" t="str">
        <f t="shared" si="3"/>
        <v>12/31/2500</v>
      </c>
      <c r="P22" t="str">
        <f t="shared" si="10"/>
        <v>044446</v>
      </c>
      <c r="R22">
        <v>-1</v>
      </c>
      <c r="S22" t="str">
        <f>"07/01/2026"</f>
        <v>07/01/2026</v>
      </c>
      <c r="T22" t="str">
        <f t="shared" si="4"/>
        <v>12/31/2500</v>
      </c>
      <c r="U22" t="s">
        <v>96</v>
      </c>
      <c r="V22" t="s">
        <v>97</v>
      </c>
      <c r="W22" t="str">
        <f t="shared" ref="W22:X41" si="11">"044446"</f>
        <v>044446</v>
      </c>
      <c r="X22" t="str">
        <f t="shared" si="11"/>
        <v>044446</v>
      </c>
      <c r="Y22" t="s">
        <v>96</v>
      </c>
      <c r="Z22" t="s">
        <v>98</v>
      </c>
      <c r="AA22" t="s">
        <v>38</v>
      </c>
    </row>
    <row r="23" spans="1:27" hidden="1" x14ac:dyDescent="0.3">
      <c r="A23" t="str">
        <f t="shared" si="0"/>
        <v>044446</v>
      </c>
      <c r="B23" t="str">
        <f t="shared" si="8"/>
        <v>042440</v>
      </c>
      <c r="C23" t="s">
        <v>27</v>
      </c>
      <c r="D23" t="s">
        <v>119</v>
      </c>
      <c r="E23" t="str">
        <f>"000232880"</f>
        <v>000232880</v>
      </c>
      <c r="F23" t="s">
        <v>120</v>
      </c>
      <c r="G23" t="s">
        <v>121</v>
      </c>
      <c r="H23" t="s">
        <v>122</v>
      </c>
      <c r="I23" t="str">
        <f t="shared" si="2"/>
        <v>044446</v>
      </c>
      <c r="J23" t="s">
        <v>32</v>
      </c>
      <c r="K23" t="s">
        <v>93</v>
      </c>
      <c r="L23" t="s">
        <v>94</v>
      </c>
      <c r="M23" t="s">
        <v>95</v>
      </c>
      <c r="N23" t="str">
        <f t="shared" si="9"/>
        <v>08/31/2026</v>
      </c>
      <c r="O23" t="str">
        <f t="shared" si="3"/>
        <v>12/31/2500</v>
      </c>
      <c r="P23" t="str">
        <f>"044248"</f>
        <v>044248</v>
      </c>
      <c r="R23">
        <v>-1</v>
      </c>
      <c r="S23" t="str">
        <f>"07/01/2026"</f>
        <v>07/01/2026</v>
      </c>
      <c r="T23" t="str">
        <f t="shared" si="4"/>
        <v>12/31/2500</v>
      </c>
      <c r="U23" t="s">
        <v>96</v>
      </c>
      <c r="V23" t="s">
        <v>97</v>
      </c>
      <c r="W23" t="str">
        <f t="shared" si="11"/>
        <v>044446</v>
      </c>
      <c r="X23" t="str">
        <f t="shared" si="11"/>
        <v>044446</v>
      </c>
      <c r="Y23" t="s">
        <v>96</v>
      </c>
      <c r="Z23" t="s">
        <v>98</v>
      </c>
      <c r="AA23" t="s">
        <v>38</v>
      </c>
    </row>
    <row r="24" spans="1:27" hidden="1" x14ac:dyDescent="0.3">
      <c r="A24" t="str">
        <f t="shared" si="0"/>
        <v>044446</v>
      </c>
      <c r="B24" t="str">
        <f t="shared" si="8"/>
        <v>042440</v>
      </c>
      <c r="C24" t="s">
        <v>27</v>
      </c>
      <c r="D24" t="s">
        <v>123</v>
      </c>
      <c r="E24" t="str">
        <f>"000232881"</f>
        <v>000232881</v>
      </c>
      <c r="F24" t="s">
        <v>124</v>
      </c>
      <c r="G24" t="s">
        <v>125</v>
      </c>
      <c r="H24" t="s">
        <v>126</v>
      </c>
      <c r="I24" t="str">
        <f t="shared" si="2"/>
        <v>044446</v>
      </c>
      <c r="J24" t="s">
        <v>32</v>
      </c>
      <c r="K24" t="s">
        <v>93</v>
      </c>
      <c r="L24" t="s">
        <v>94</v>
      </c>
      <c r="M24" t="s">
        <v>95</v>
      </c>
      <c r="N24" t="str">
        <f t="shared" si="9"/>
        <v>08/31/2026</v>
      </c>
      <c r="O24" t="str">
        <f t="shared" si="3"/>
        <v>12/31/2500</v>
      </c>
      <c r="P24" t="str">
        <f>"045922"</f>
        <v>045922</v>
      </c>
      <c r="R24">
        <v>-1</v>
      </c>
      <c r="S24" t="str">
        <f>"07/01/2026"</f>
        <v>07/01/2026</v>
      </c>
      <c r="T24" t="str">
        <f t="shared" si="4"/>
        <v>12/31/2500</v>
      </c>
      <c r="U24" t="s">
        <v>96</v>
      </c>
      <c r="V24" t="s">
        <v>97</v>
      </c>
      <c r="W24" t="str">
        <f t="shared" si="11"/>
        <v>044446</v>
      </c>
      <c r="X24" t="str">
        <f t="shared" si="11"/>
        <v>044446</v>
      </c>
      <c r="Y24" t="s">
        <v>96</v>
      </c>
      <c r="Z24" t="s">
        <v>98</v>
      </c>
      <c r="AA24" t="s">
        <v>38</v>
      </c>
    </row>
    <row r="25" spans="1:27" hidden="1" x14ac:dyDescent="0.3">
      <c r="A25" t="str">
        <f t="shared" si="0"/>
        <v>044446</v>
      </c>
      <c r="B25" t="str">
        <f t="shared" si="8"/>
        <v>042440</v>
      </c>
      <c r="C25" t="s">
        <v>27</v>
      </c>
      <c r="D25" t="s">
        <v>127</v>
      </c>
      <c r="E25" t="str">
        <f>"000232942"</f>
        <v>000232942</v>
      </c>
      <c r="F25" t="s">
        <v>128</v>
      </c>
      <c r="G25" t="s">
        <v>129</v>
      </c>
      <c r="H25" t="s">
        <v>130</v>
      </c>
      <c r="I25" t="str">
        <f t="shared" si="2"/>
        <v>044446</v>
      </c>
      <c r="J25" t="s">
        <v>32</v>
      </c>
      <c r="K25" t="s">
        <v>93</v>
      </c>
      <c r="L25" t="s">
        <v>94</v>
      </c>
      <c r="M25" t="s">
        <v>95</v>
      </c>
      <c r="N25" t="str">
        <f t="shared" si="9"/>
        <v>08/31/2026</v>
      </c>
      <c r="O25" t="str">
        <f t="shared" si="3"/>
        <v>12/31/2500</v>
      </c>
      <c r="P25" t="str">
        <f>"044446"</f>
        <v>044446</v>
      </c>
      <c r="R25">
        <v>-1</v>
      </c>
      <c r="S25" t="str">
        <f>"08/13/2026"</f>
        <v>08/13/2026</v>
      </c>
      <c r="T25" t="str">
        <f t="shared" si="4"/>
        <v>12/31/2500</v>
      </c>
      <c r="U25" t="s">
        <v>96</v>
      </c>
      <c r="V25" t="s">
        <v>97</v>
      </c>
      <c r="W25" t="str">
        <f t="shared" si="11"/>
        <v>044446</v>
      </c>
      <c r="X25" t="str">
        <f t="shared" si="11"/>
        <v>044446</v>
      </c>
      <c r="Y25" t="s">
        <v>96</v>
      </c>
      <c r="Z25" t="s">
        <v>98</v>
      </c>
      <c r="AA25" t="s">
        <v>38</v>
      </c>
    </row>
    <row r="26" spans="1:27" hidden="1" x14ac:dyDescent="0.3">
      <c r="A26" t="str">
        <f t="shared" si="0"/>
        <v>044446</v>
      </c>
      <c r="B26" t="str">
        <f t="shared" si="8"/>
        <v>042440</v>
      </c>
      <c r="C26" t="s">
        <v>27</v>
      </c>
      <c r="D26" t="s">
        <v>131</v>
      </c>
      <c r="E26" t="str">
        <f>"000232887"</f>
        <v>000232887</v>
      </c>
      <c r="F26" t="s">
        <v>132</v>
      </c>
      <c r="G26" t="s">
        <v>133</v>
      </c>
      <c r="H26" t="s">
        <v>134</v>
      </c>
      <c r="I26" t="str">
        <f t="shared" si="2"/>
        <v>044446</v>
      </c>
      <c r="J26" t="s">
        <v>32</v>
      </c>
      <c r="K26" t="s">
        <v>93</v>
      </c>
      <c r="L26" t="s">
        <v>94</v>
      </c>
      <c r="M26" t="s">
        <v>95</v>
      </c>
      <c r="N26" t="str">
        <f t="shared" si="9"/>
        <v>08/31/2026</v>
      </c>
      <c r="O26" t="str">
        <f t="shared" si="3"/>
        <v>12/31/2500</v>
      </c>
      <c r="P26" t="str">
        <f>"044446"</f>
        <v>044446</v>
      </c>
      <c r="R26">
        <v>-1</v>
      </c>
      <c r="S26" t="str">
        <f>"07/01/2026"</f>
        <v>07/01/2026</v>
      </c>
      <c r="T26" t="str">
        <f t="shared" si="4"/>
        <v>12/31/2500</v>
      </c>
      <c r="U26" t="s">
        <v>96</v>
      </c>
      <c r="V26" t="s">
        <v>97</v>
      </c>
      <c r="W26" t="str">
        <f t="shared" si="11"/>
        <v>044446</v>
      </c>
      <c r="X26" t="str">
        <f t="shared" si="11"/>
        <v>044446</v>
      </c>
      <c r="Y26" t="s">
        <v>96</v>
      </c>
      <c r="Z26" t="s">
        <v>98</v>
      </c>
      <c r="AA26" t="s">
        <v>38</v>
      </c>
    </row>
    <row r="27" spans="1:27" hidden="1" x14ac:dyDescent="0.3">
      <c r="A27" t="str">
        <f t="shared" si="0"/>
        <v>044446</v>
      </c>
      <c r="B27" t="str">
        <f t="shared" si="8"/>
        <v>042440</v>
      </c>
      <c r="C27" t="s">
        <v>27</v>
      </c>
      <c r="D27" t="s">
        <v>135</v>
      </c>
      <c r="E27" t="str">
        <f>"000232787"</f>
        <v>000232787</v>
      </c>
      <c r="F27" t="s">
        <v>136</v>
      </c>
      <c r="G27" t="s">
        <v>137</v>
      </c>
      <c r="H27" t="s">
        <v>138</v>
      </c>
      <c r="I27" t="str">
        <f t="shared" si="2"/>
        <v>044446</v>
      </c>
      <c r="J27" t="s">
        <v>32</v>
      </c>
      <c r="K27" t="s">
        <v>33</v>
      </c>
      <c r="L27" t="s">
        <v>34</v>
      </c>
      <c r="M27" t="s">
        <v>35</v>
      </c>
      <c r="N27" t="str">
        <f>"08/26/2026"</f>
        <v>08/26/2026</v>
      </c>
      <c r="O27" t="str">
        <f t="shared" si="3"/>
        <v>12/31/2500</v>
      </c>
      <c r="P27" t="str">
        <f>"044446"</f>
        <v>044446</v>
      </c>
      <c r="R27">
        <v>-1.5075E-2</v>
      </c>
      <c r="S27" t="str">
        <f>"08/25/2026"</f>
        <v>08/25/2026</v>
      </c>
      <c r="T27" t="str">
        <f t="shared" si="4"/>
        <v>12/31/2500</v>
      </c>
      <c r="U27" t="str">
        <f>"01"</f>
        <v>01</v>
      </c>
      <c r="V27" t="s">
        <v>36</v>
      </c>
      <c r="W27" t="str">
        <f t="shared" si="11"/>
        <v>044446</v>
      </c>
      <c r="X27" t="str">
        <f t="shared" si="11"/>
        <v>044446</v>
      </c>
      <c r="Y27" t="str">
        <f>"01"</f>
        <v>01</v>
      </c>
      <c r="Z27" t="s">
        <v>37</v>
      </c>
      <c r="AA27" t="s">
        <v>38</v>
      </c>
    </row>
    <row r="28" spans="1:27" hidden="1" x14ac:dyDescent="0.3">
      <c r="A28" t="str">
        <f t="shared" si="0"/>
        <v>044446</v>
      </c>
      <c r="B28" t="str">
        <f t="shared" si="8"/>
        <v>042440</v>
      </c>
      <c r="C28" t="s">
        <v>27</v>
      </c>
      <c r="D28" t="s">
        <v>139</v>
      </c>
      <c r="E28" t="str">
        <f>"000232883"</f>
        <v>000232883</v>
      </c>
      <c r="F28" t="s">
        <v>140</v>
      </c>
      <c r="G28" t="s">
        <v>141</v>
      </c>
      <c r="H28" t="s">
        <v>142</v>
      </c>
      <c r="I28" t="str">
        <f t="shared" si="2"/>
        <v>044446</v>
      </c>
      <c r="J28" t="s">
        <v>32</v>
      </c>
      <c r="K28" t="s">
        <v>93</v>
      </c>
      <c r="L28" t="s">
        <v>94</v>
      </c>
      <c r="M28" t="s">
        <v>95</v>
      </c>
      <c r="N28" t="str">
        <f>"08/31/2026"</f>
        <v>08/31/2026</v>
      </c>
      <c r="O28" t="str">
        <f t="shared" si="3"/>
        <v>12/31/2500</v>
      </c>
      <c r="P28" t="str">
        <f>"044446"</f>
        <v>044446</v>
      </c>
      <c r="R28">
        <v>-1</v>
      </c>
      <c r="S28" t="str">
        <f>"07/01/2026"</f>
        <v>07/01/2026</v>
      </c>
      <c r="T28" t="str">
        <f t="shared" si="4"/>
        <v>12/31/2500</v>
      </c>
      <c r="U28" t="s">
        <v>96</v>
      </c>
      <c r="V28" t="s">
        <v>97</v>
      </c>
      <c r="W28" t="str">
        <f t="shared" si="11"/>
        <v>044446</v>
      </c>
      <c r="X28" t="str">
        <f t="shared" si="11"/>
        <v>044446</v>
      </c>
      <c r="Y28" t="s">
        <v>96</v>
      </c>
      <c r="Z28" t="s">
        <v>98</v>
      </c>
      <c r="AA28" t="s">
        <v>38</v>
      </c>
    </row>
    <row r="29" spans="1:27" hidden="1" x14ac:dyDescent="0.3">
      <c r="A29" t="str">
        <f t="shared" si="0"/>
        <v>044446</v>
      </c>
      <c r="B29" t="str">
        <f t="shared" si="8"/>
        <v>042440</v>
      </c>
      <c r="C29" t="s">
        <v>27</v>
      </c>
      <c r="D29" t="s">
        <v>143</v>
      </c>
      <c r="E29" t="str">
        <f>"000232975"</f>
        <v>000232975</v>
      </c>
      <c r="F29" t="s">
        <v>144</v>
      </c>
      <c r="G29" t="s">
        <v>145</v>
      </c>
      <c r="H29" t="s">
        <v>146</v>
      </c>
      <c r="I29" t="str">
        <f t="shared" si="2"/>
        <v>044446</v>
      </c>
      <c r="J29" t="s">
        <v>32</v>
      </c>
      <c r="K29" t="s">
        <v>93</v>
      </c>
      <c r="L29" t="s">
        <v>94</v>
      </c>
      <c r="M29" t="s">
        <v>95</v>
      </c>
      <c r="N29" t="str">
        <f>"09/14/2026"</f>
        <v>09/14/2026</v>
      </c>
      <c r="O29" t="str">
        <f t="shared" si="3"/>
        <v>12/31/2500</v>
      </c>
      <c r="P29" t="str">
        <f>"044669"</f>
        <v>044669</v>
      </c>
      <c r="R29">
        <v>-0.95294100000000004</v>
      </c>
      <c r="S29" t="str">
        <f>"09/14/2026"</f>
        <v>09/14/2026</v>
      </c>
      <c r="T29" t="str">
        <f t="shared" si="4"/>
        <v>12/31/2500</v>
      </c>
      <c r="U29" t="s">
        <v>96</v>
      </c>
      <c r="V29" t="s">
        <v>97</v>
      </c>
      <c r="W29" t="str">
        <f t="shared" si="11"/>
        <v>044446</v>
      </c>
      <c r="X29" t="str">
        <f t="shared" si="11"/>
        <v>044446</v>
      </c>
      <c r="Y29" t="s">
        <v>96</v>
      </c>
      <c r="Z29" t="s">
        <v>98</v>
      </c>
      <c r="AA29" t="s">
        <v>38</v>
      </c>
    </row>
    <row r="30" spans="1:27" hidden="1" x14ac:dyDescent="0.3">
      <c r="A30" t="str">
        <f t="shared" si="0"/>
        <v>044446</v>
      </c>
      <c r="B30" t="str">
        <f t="shared" si="8"/>
        <v>042440</v>
      </c>
      <c r="C30" t="s">
        <v>27</v>
      </c>
      <c r="D30" t="s">
        <v>147</v>
      </c>
      <c r="E30" t="str">
        <f>"000232884"</f>
        <v>000232884</v>
      </c>
      <c r="F30" t="s">
        <v>148</v>
      </c>
      <c r="G30" t="s">
        <v>64</v>
      </c>
      <c r="H30" t="s">
        <v>88</v>
      </c>
      <c r="I30" t="str">
        <f t="shared" si="2"/>
        <v>044446</v>
      </c>
      <c r="J30" t="s">
        <v>32</v>
      </c>
      <c r="K30" t="s">
        <v>93</v>
      </c>
      <c r="L30" t="s">
        <v>94</v>
      </c>
      <c r="M30" t="s">
        <v>95</v>
      </c>
      <c r="N30" t="str">
        <f t="shared" ref="N30:N35" si="12">"08/31/2026"</f>
        <v>08/31/2026</v>
      </c>
      <c r="O30" t="str">
        <f t="shared" si="3"/>
        <v>12/31/2500</v>
      </c>
      <c r="P30" t="str">
        <f>"044446"</f>
        <v>044446</v>
      </c>
      <c r="R30">
        <v>-1</v>
      </c>
      <c r="S30" t="str">
        <f t="shared" ref="S30:S37" si="13">"07/01/2026"</f>
        <v>07/01/2026</v>
      </c>
      <c r="T30" t="str">
        <f t="shared" si="4"/>
        <v>12/31/2500</v>
      </c>
      <c r="U30" t="s">
        <v>96</v>
      </c>
      <c r="V30" t="s">
        <v>97</v>
      </c>
      <c r="W30" t="str">
        <f t="shared" si="11"/>
        <v>044446</v>
      </c>
      <c r="X30" t="str">
        <f t="shared" si="11"/>
        <v>044446</v>
      </c>
      <c r="Y30" t="s">
        <v>96</v>
      </c>
      <c r="Z30" t="s">
        <v>98</v>
      </c>
      <c r="AA30" t="s">
        <v>38</v>
      </c>
    </row>
    <row r="31" spans="1:27" hidden="1" x14ac:dyDescent="0.3">
      <c r="A31" t="str">
        <f t="shared" si="0"/>
        <v>044446</v>
      </c>
      <c r="B31" t="str">
        <f t="shared" si="8"/>
        <v>042440</v>
      </c>
      <c r="C31" t="s">
        <v>27</v>
      </c>
      <c r="D31" t="s">
        <v>149</v>
      </c>
      <c r="E31" t="str">
        <f>"000232885"</f>
        <v>000232885</v>
      </c>
      <c r="F31" t="s">
        <v>150</v>
      </c>
      <c r="G31" t="s">
        <v>151</v>
      </c>
      <c r="H31" t="s">
        <v>126</v>
      </c>
      <c r="I31" t="str">
        <f t="shared" si="2"/>
        <v>044446</v>
      </c>
      <c r="J31" t="s">
        <v>32</v>
      </c>
      <c r="K31" t="s">
        <v>93</v>
      </c>
      <c r="L31" t="s">
        <v>94</v>
      </c>
      <c r="M31" t="s">
        <v>95</v>
      </c>
      <c r="N31" t="str">
        <f t="shared" si="12"/>
        <v>08/31/2026</v>
      </c>
      <c r="O31" t="str">
        <f t="shared" si="3"/>
        <v>12/31/2500</v>
      </c>
      <c r="P31" t="str">
        <f>"044446"</f>
        <v>044446</v>
      </c>
      <c r="R31">
        <v>-1</v>
      </c>
      <c r="S31" t="str">
        <f t="shared" si="13"/>
        <v>07/01/2026</v>
      </c>
      <c r="T31" t="str">
        <f t="shared" si="4"/>
        <v>12/31/2500</v>
      </c>
      <c r="U31" t="s">
        <v>96</v>
      </c>
      <c r="V31" t="s">
        <v>97</v>
      </c>
      <c r="W31" t="str">
        <f t="shared" si="11"/>
        <v>044446</v>
      </c>
      <c r="X31" t="str">
        <f t="shared" si="11"/>
        <v>044446</v>
      </c>
      <c r="Y31" t="s">
        <v>96</v>
      </c>
      <c r="Z31" t="s">
        <v>98</v>
      </c>
      <c r="AA31" t="s">
        <v>38</v>
      </c>
    </row>
    <row r="32" spans="1:27" hidden="1" x14ac:dyDescent="0.3">
      <c r="A32" t="str">
        <f t="shared" si="0"/>
        <v>044446</v>
      </c>
      <c r="B32" t="str">
        <f t="shared" si="8"/>
        <v>042440</v>
      </c>
      <c r="C32" t="s">
        <v>27</v>
      </c>
      <c r="D32" t="s">
        <v>152</v>
      </c>
      <c r="E32" t="str">
        <f>"000232886"</f>
        <v>000232886</v>
      </c>
      <c r="F32" t="s">
        <v>153</v>
      </c>
      <c r="G32" t="s">
        <v>154</v>
      </c>
      <c r="H32" t="s">
        <v>155</v>
      </c>
      <c r="I32" t="str">
        <f t="shared" si="2"/>
        <v>044446</v>
      </c>
      <c r="J32" t="s">
        <v>32</v>
      </c>
      <c r="K32" t="s">
        <v>93</v>
      </c>
      <c r="L32" t="s">
        <v>94</v>
      </c>
      <c r="M32" t="s">
        <v>95</v>
      </c>
      <c r="N32" t="str">
        <f t="shared" si="12"/>
        <v>08/31/2026</v>
      </c>
      <c r="O32" t="str">
        <f t="shared" si="3"/>
        <v>12/31/2500</v>
      </c>
      <c r="P32" t="str">
        <f>"044248"</f>
        <v>044248</v>
      </c>
      <c r="R32">
        <v>-1</v>
      </c>
      <c r="S32" t="str">
        <f t="shared" si="13"/>
        <v>07/01/2026</v>
      </c>
      <c r="T32" t="str">
        <f t="shared" si="4"/>
        <v>12/31/2500</v>
      </c>
      <c r="U32" t="s">
        <v>96</v>
      </c>
      <c r="V32" t="s">
        <v>97</v>
      </c>
      <c r="W32" t="str">
        <f t="shared" si="11"/>
        <v>044446</v>
      </c>
      <c r="X32" t="str">
        <f t="shared" si="11"/>
        <v>044446</v>
      </c>
      <c r="Y32" t="s">
        <v>96</v>
      </c>
      <c r="Z32" t="s">
        <v>98</v>
      </c>
      <c r="AA32" t="s">
        <v>38</v>
      </c>
    </row>
    <row r="33" spans="1:27" hidden="1" x14ac:dyDescent="0.3">
      <c r="A33" t="str">
        <f t="shared" si="0"/>
        <v>044446</v>
      </c>
      <c r="B33" t="str">
        <f t="shared" si="8"/>
        <v>042440</v>
      </c>
      <c r="C33" t="s">
        <v>27</v>
      </c>
      <c r="D33" t="s">
        <v>156</v>
      </c>
      <c r="E33" t="str">
        <f>"000232811"</f>
        <v>000232811</v>
      </c>
      <c r="F33" t="s">
        <v>157</v>
      </c>
      <c r="G33" t="s">
        <v>158</v>
      </c>
      <c r="H33" t="s">
        <v>159</v>
      </c>
      <c r="I33" t="str">
        <f t="shared" si="2"/>
        <v>044446</v>
      </c>
      <c r="J33" t="s">
        <v>32</v>
      </c>
      <c r="K33" t="s">
        <v>93</v>
      </c>
      <c r="L33" t="s">
        <v>94</v>
      </c>
      <c r="M33" t="s">
        <v>95</v>
      </c>
      <c r="N33" t="str">
        <f t="shared" si="12"/>
        <v>08/31/2026</v>
      </c>
      <c r="O33" t="str">
        <f t="shared" si="3"/>
        <v>12/31/2500</v>
      </c>
      <c r="P33" t="str">
        <f>"044446"</f>
        <v>044446</v>
      </c>
      <c r="R33">
        <v>-1</v>
      </c>
      <c r="S33" t="str">
        <f t="shared" si="13"/>
        <v>07/01/2026</v>
      </c>
      <c r="T33" t="str">
        <f t="shared" si="4"/>
        <v>12/31/2500</v>
      </c>
      <c r="U33" t="s">
        <v>96</v>
      </c>
      <c r="V33" t="s">
        <v>97</v>
      </c>
      <c r="W33" t="str">
        <f t="shared" si="11"/>
        <v>044446</v>
      </c>
      <c r="X33" t="str">
        <f t="shared" si="11"/>
        <v>044446</v>
      </c>
      <c r="Y33" t="s">
        <v>96</v>
      </c>
      <c r="Z33" t="s">
        <v>98</v>
      </c>
      <c r="AA33" t="s">
        <v>38</v>
      </c>
    </row>
    <row r="34" spans="1:27" hidden="1" x14ac:dyDescent="0.3">
      <c r="A34" t="str">
        <f t="shared" ref="A34:A61" si="14">"044446"</f>
        <v>044446</v>
      </c>
      <c r="B34" t="str">
        <f t="shared" si="8"/>
        <v>042440</v>
      </c>
      <c r="C34" t="s">
        <v>27</v>
      </c>
      <c r="D34" t="s">
        <v>160</v>
      </c>
      <c r="E34" t="str">
        <f>"000232888"</f>
        <v>000232888</v>
      </c>
      <c r="F34" t="s">
        <v>52</v>
      </c>
      <c r="G34" t="s">
        <v>161</v>
      </c>
      <c r="H34" t="s">
        <v>162</v>
      </c>
      <c r="I34" t="str">
        <f t="shared" ref="I34:I61" si="15">"044446"</f>
        <v>044446</v>
      </c>
      <c r="J34" t="s">
        <v>32</v>
      </c>
      <c r="K34" t="s">
        <v>93</v>
      </c>
      <c r="L34" t="s">
        <v>94</v>
      </c>
      <c r="M34" t="s">
        <v>95</v>
      </c>
      <c r="N34" t="str">
        <f t="shared" si="12"/>
        <v>08/31/2026</v>
      </c>
      <c r="O34" t="str">
        <f t="shared" ref="O34:O61" si="16">"12/31/2500"</f>
        <v>12/31/2500</v>
      </c>
      <c r="P34" t="str">
        <f>"044446"</f>
        <v>044446</v>
      </c>
      <c r="R34">
        <v>-1</v>
      </c>
      <c r="S34" t="str">
        <f t="shared" si="13"/>
        <v>07/01/2026</v>
      </c>
      <c r="T34" t="str">
        <f t="shared" ref="T34:T58" si="17">"12/31/2500"</f>
        <v>12/31/2500</v>
      </c>
      <c r="U34" t="s">
        <v>96</v>
      </c>
      <c r="V34" t="s">
        <v>97</v>
      </c>
      <c r="W34" t="str">
        <f t="shared" si="11"/>
        <v>044446</v>
      </c>
      <c r="X34" t="str">
        <f t="shared" si="11"/>
        <v>044446</v>
      </c>
      <c r="Y34" t="s">
        <v>96</v>
      </c>
      <c r="Z34" t="s">
        <v>98</v>
      </c>
      <c r="AA34" t="s">
        <v>38</v>
      </c>
    </row>
    <row r="35" spans="1:27" hidden="1" x14ac:dyDescent="0.3">
      <c r="A35" t="str">
        <f t="shared" si="14"/>
        <v>044446</v>
      </c>
      <c r="B35" t="str">
        <f t="shared" si="8"/>
        <v>042440</v>
      </c>
      <c r="C35" t="s">
        <v>27</v>
      </c>
      <c r="D35" t="s">
        <v>163</v>
      </c>
      <c r="E35" t="str">
        <f>"000232889"</f>
        <v>000232889</v>
      </c>
      <c r="F35" t="s">
        <v>164</v>
      </c>
      <c r="G35" t="s">
        <v>165</v>
      </c>
      <c r="H35" t="s">
        <v>166</v>
      </c>
      <c r="I35" t="str">
        <f t="shared" si="15"/>
        <v>044446</v>
      </c>
      <c r="J35" t="s">
        <v>32</v>
      </c>
      <c r="K35" t="s">
        <v>93</v>
      </c>
      <c r="L35" t="s">
        <v>94</v>
      </c>
      <c r="M35" t="s">
        <v>95</v>
      </c>
      <c r="N35" t="str">
        <f t="shared" si="12"/>
        <v>08/31/2026</v>
      </c>
      <c r="O35" t="str">
        <f t="shared" si="16"/>
        <v>12/31/2500</v>
      </c>
      <c r="P35" t="str">
        <f>"044446"</f>
        <v>044446</v>
      </c>
      <c r="R35">
        <v>-1</v>
      </c>
      <c r="S35" t="str">
        <f t="shared" si="13"/>
        <v>07/01/2026</v>
      </c>
      <c r="T35" t="str">
        <f t="shared" si="17"/>
        <v>12/31/2500</v>
      </c>
      <c r="U35" t="s">
        <v>96</v>
      </c>
      <c r="V35" t="s">
        <v>97</v>
      </c>
      <c r="W35" t="str">
        <f t="shared" si="11"/>
        <v>044446</v>
      </c>
      <c r="X35" t="str">
        <f t="shared" si="11"/>
        <v>044446</v>
      </c>
      <c r="Y35" t="s">
        <v>96</v>
      </c>
      <c r="Z35" t="s">
        <v>98</v>
      </c>
      <c r="AA35" t="s">
        <v>38</v>
      </c>
    </row>
    <row r="36" spans="1:27" hidden="1" x14ac:dyDescent="0.3">
      <c r="A36" t="str">
        <f t="shared" si="14"/>
        <v>044446</v>
      </c>
      <c r="B36" t="str">
        <f t="shared" si="8"/>
        <v>042440</v>
      </c>
      <c r="C36" t="s">
        <v>27</v>
      </c>
      <c r="D36" t="s">
        <v>167</v>
      </c>
      <c r="E36" t="str">
        <f>"000232869"</f>
        <v>000232869</v>
      </c>
      <c r="F36" t="s">
        <v>168</v>
      </c>
      <c r="G36" t="s">
        <v>169</v>
      </c>
      <c r="H36" t="s">
        <v>170</v>
      </c>
      <c r="I36" t="str">
        <f t="shared" si="15"/>
        <v>044446</v>
      </c>
      <c r="J36" t="s">
        <v>32</v>
      </c>
      <c r="K36" t="s">
        <v>33</v>
      </c>
      <c r="L36" t="s">
        <v>34</v>
      </c>
      <c r="M36" t="s">
        <v>43</v>
      </c>
      <c r="N36" t="str">
        <f>"08/26/2026"</f>
        <v>08/26/2026</v>
      </c>
      <c r="O36" t="str">
        <f t="shared" si="16"/>
        <v>12/31/2500</v>
      </c>
      <c r="P36" t="str">
        <f>"045922"</f>
        <v>045922</v>
      </c>
      <c r="R36">
        <v>-2.2984999999999998E-2</v>
      </c>
      <c r="S36" t="str">
        <f t="shared" si="13"/>
        <v>07/01/2026</v>
      </c>
      <c r="T36" t="str">
        <f t="shared" si="17"/>
        <v>12/31/2500</v>
      </c>
      <c r="U36" t="s">
        <v>171</v>
      </c>
      <c r="V36" t="s">
        <v>36</v>
      </c>
      <c r="W36" t="str">
        <f t="shared" si="11"/>
        <v>044446</v>
      </c>
      <c r="X36" t="str">
        <f t="shared" si="11"/>
        <v>044446</v>
      </c>
      <c r="Y36" t="s">
        <v>171</v>
      </c>
      <c r="Z36" t="s">
        <v>172</v>
      </c>
      <c r="AA36" t="s">
        <v>38</v>
      </c>
    </row>
    <row r="37" spans="1:27" hidden="1" x14ac:dyDescent="0.3">
      <c r="A37" t="str">
        <f t="shared" si="14"/>
        <v>044446</v>
      </c>
      <c r="B37" t="str">
        <f t="shared" si="8"/>
        <v>042440</v>
      </c>
      <c r="C37" t="s">
        <v>27</v>
      </c>
      <c r="D37" t="s">
        <v>173</v>
      </c>
      <c r="E37" t="str">
        <f>"000232847"</f>
        <v>000232847</v>
      </c>
      <c r="F37" t="s">
        <v>174</v>
      </c>
      <c r="G37" t="s">
        <v>175</v>
      </c>
      <c r="H37" t="s">
        <v>176</v>
      </c>
      <c r="I37" t="str">
        <f t="shared" si="15"/>
        <v>044446</v>
      </c>
      <c r="J37" t="s">
        <v>32</v>
      </c>
      <c r="K37" t="s">
        <v>93</v>
      </c>
      <c r="L37" t="s">
        <v>94</v>
      </c>
      <c r="M37" t="s">
        <v>95</v>
      </c>
      <c r="N37" t="str">
        <f>"08/31/2026"</f>
        <v>08/31/2026</v>
      </c>
      <c r="O37" t="str">
        <f t="shared" si="16"/>
        <v>12/31/2500</v>
      </c>
      <c r="P37" t="str">
        <f>"044446"</f>
        <v>044446</v>
      </c>
      <c r="R37">
        <v>-1</v>
      </c>
      <c r="S37" t="str">
        <f t="shared" si="13"/>
        <v>07/01/2026</v>
      </c>
      <c r="T37" t="str">
        <f t="shared" si="17"/>
        <v>12/31/2500</v>
      </c>
      <c r="U37" t="s">
        <v>96</v>
      </c>
      <c r="V37" t="s">
        <v>97</v>
      </c>
      <c r="W37" t="str">
        <f t="shared" si="11"/>
        <v>044446</v>
      </c>
      <c r="X37" t="str">
        <f t="shared" si="11"/>
        <v>044446</v>
      </c>
      <c r="Y37" t="s">
        <v>96</v>
      </c>
      <c r="Z37" t="s">
        <v>98</v>
      </c>
      <c r="AA37" t="s">
        <v>38</v>
      </c>
    </row>
    <row r="38" spans="1:27" hidden="1" x14ac:dyDescent="0.3">
      <c r="A38" t="str">
        <f t="shared" si="14"/>
        <v>044446</v>
      </c>
      <c r="B38" t="str">
        <f t="shared" si="8"/>
        <v>042440</v>
      </c>
      <c r="C38" t="s">
        <v>27</v>
      </c>
      <c r="D38" t="s">
        <v>177</v>
      </c>
      <c r="E38" t="str">
        <f>"000232978"</f>
        <v>000232978</v>
      </c>
      <c r="F38" t="s">
        <v>178</v>
      </c>
      <c r="G38" t="s">
        <v>179</v>
      </c>
      <c r="H38" t="s">
        <v>88</v>
      </c>
      <c r="I38" t="str">
        <f t="shared" si="15"/>
        <v>044446</v>
      </c>
      <c r="J38" t="s">
        <v>32</v>
      </c>
      <c r="K38" t="s">
        <v>33</v>
      </c>
      <c r="L38" t="s">
        <v>34</v>
      </c>
      <c r="M38" t="s">
        <v>35</v>
      </c>
      <c r="N38" t="str">
        <f>"09/22/2026"</f>
        <v>09/22/2026</v>
      </c>
      <c r="O38" t="str">
        <f t="shared" si="16"/>
        <v>12/31/2500</v>
      </c>
      <c r="P38" t="str">
        <f>"044446"</f>
        <v>044446</v>
      </c>
      <c r="R38">
        <v>-2.8715000000000001E-2</v>
      </c>
      <c r="S38" t="str">
        <f>"09/22/2026"</f>
        <v>09/22/2026</v>
      </c>
      <c r="T38" t="str">
        <f t="shared" si="17"/>
        <v>12/31/2500</v>
      </c>
      <c r="U38" t="str">
        <f>"04"</f>
        <v>04</v>
      </c>
      <c r="V38" t="s">
        <v>36</v>
      </c>
      <c r="W38" t="str">
        <f t="shared" si="11"/>
        <v>044446</v>
      </c>
      <c r="X38" t="str">
        <f t="shared" si="11"/>
        <v>044446</v>
      </c>
      <c r="Y38" t="str">
        <f>"04"</f>
        <v>04</v>
      </c>
      <c r="Z38" t="s">
        <v>37</v>
      </c>
      <c r="AA38" t="s">
        <v>38</v>
      </c>
    </row>
    <row r="39" spans="1:27" hidden="1" x14ac:dyDescent="0.3">
      <c r="A39" t="str">
        <f t="shared" si="14"/>
        <v>044446</v>
      </c>
      <c r="B39" t="str">
        <f t="shared" si="8"/>
        <v>042440</v>
      </c>
      <c r="C39" t="s">
        <v>27</v>
      </c>
      <c r="D39" t="s">
        <v>180</v>
      </c>
      <c r="E39" t="str">
        <f>"000232980"</f>
        <v>000232980</v>
      </c>
      <c r="F39" t="s">
        <v>178</v>
      </c>
      <c r="G39" t="s">
        <v>181</v>
      </c>
      <c r="H39" t="s">
        <v>182</v>
      </c>
      <c r="I39" t="str">
        <f t="shared" si="15"/>
        <v>044446</v>
      </c>
      <c r="J39" t="s">
        <v>32</v>
      </c>
      <c r="K39" t="s">
        <v>33</v>
      </c>
      <c r="L39" t="s">
        <v>34</v>
      </c>
      <c r="M39" t="s">
        <v>35</v>
      </c>
      <c r="N39" t="str">
        <f>"09/22/2026"</f>
        <v>09/22/2026</v>
      </c>
      <c r="O39" t="str">
        <f t="shared" si="16"/>
        <v>12/31/2500</v>
      </c>
      <c r="P39" t="str">
        <f>"044446"</f>
        <v>044446</v>
      </c>
      <c r="R39">
        <v>-2.8715000000000001E-2</v>
      </c>
      <c r="S39" t="str">
        <f>"09/22/2026"</f>
        <v>09/22/2026</v>
      </c>
      <c r="T39" t="str">
        <f t="shared" si="17"/>
        <v>12/31/2500</v>
      </c>
      <c r="U39" t="str">
        <f>"03"</f>
        <v>03</v>
      </c>
      <c r="V39" t="s">
        <v>36</v>
      </c>
      <c r="W39" t="str">
        <f t="shared" si="11"/>
        <v>044446</v>
      </c>
      <c r="X39" t="str">
        <f t="shared" si="11"/>
        <v>044446</v>
      </c>
      <c r="Y39" t="str">
        <f>"03"</f>
        <v>03</v>
      </c>
      <c r="Z39" t="s">
        <v>37</v>
      </c>
      <c r="AA39" t="s">
        <v>38</v>
      </c>
    </row>
    <row r="40" spans="1:27" hidden="1" x14ac:dyDescent="0.3">
      <c r="A40" t="str">
        <f t="shared" si="14"/>
        <v>044446</v>
      </c>
      <c r="B40" t="str">
        <f t="shared" si="8"/>
        <v>042440</v>
      </c>
      <c r="C40" t="s">
        <v>27</v>
      </c>
      <c r="D40" t="s">
        <v>183</v>
      </c>
      <c r="E40" t="str">
        <f>"000232981"</f>
        <v>000232981</v>
      </c>
      <c r="F40" t="s">
        <v>178</v>
      </c>
      <c r="G40" t="s">
        <v>184</v>
      </c>
      <c r="H40" t="s">
        <v>114</v>
      </c>
      <c r="I40" t="str">
        <f t="shared" si="15"/>
        <v>044446</v>
      </c>
      <c r="J40" t="s">
        <v>32</v>
      </c>
      <c r="K40" t="s">
        <v>93</v>
      </c>
      <c r="L40" t="s">
        <v>94</v>
      </c>
      <c r="M40" t="s">
        <v>95</v>
      </c>
      <c r="N40" t="str">
        <f>"09/22/2026"</f>
        <v>09/22/2026</v>
      </c>
      <c r="O40" t="str">
        <f t="shared" si="16"/>
        <v>12/31/2500</v>
      </c>
      <c r="P40" t="str">
        <f>"044446"</f>
        <v>044446</v>
      </c>
      <c r="R40">
        <v>-0.91764699999999999</v>
      </c>
      <c r="S40" t="str">
        <f>"09/22/2026"</f>
        <v>09/22/2026</v>
      </c>
      <c r="T40" t="str">
        <f t="shared" si="17"/>
        <v>12/31/2500</v>
      </c>
      <c r="U40" t="s">
        <v>96</v>
      </c>
      <c r="V40" t="s">
        <v>97</v>
      </c>
      <c r="W40" t="str">
        <f t="shared" si="11"/>
        <v>044446</v>
      </c>
      <c r="X40" t="str">
        <f t="shared" si="11"/>
        <v>044446</v>
      </c>
      <c r="Y40" t="s">
        <v>96</v>
      </c>
      <c r="Z40" t="s">
        <v>98</v>
      </c>
      <c r="AA40" t="s">
        <v>38</v>
      </c>
    </row>
    <row r="41" spans="1:27" hidden="1" x14ac:dyDescent="0.3">
      <c r="A41" t="str">
        <f t="shared" si="14"/>
        <v>044446</v>
      </c>
      <c r="B41" t="str">
        <f t="shared" si="8"/>
        <v>042440</v>
      </c>
      <c r="C41" t="s">
        <v>27</v>
      </c>
      <c r="D41" t="s">
        <v>185</v>
      </c>
      <c r="E41" t="str">
        <f>"000232855"</f>
        <v>000232855</v>
      </c>
      <c r="F41" t="s">
        <v>186</v>
      </c>
      <c r="G41" t="s">
        <v>187</v>
      </c>
      <c r="H41" t="s">
        <v>188</v>
      </c>
      <c r="I41" t="str">
        <f t="shared" si="15"/>
        <v>044446</v>
      </c>
      <c r="J41" t="s">
        <v>32</v>
      </c>
      <c r="K41" t="s">
        <v>93</v>
      </c>
      <c r="L41" t="s">
        <v>94</v>
      </c>
      <c r="M41" t="s">
        <v>95</v>
      </c>
      <c r="N41" t="str">
        <f>"08/31/2026"</f>
        <v>08/31/2026</v>
      </c>
      <c r="O41" t="str">
        <f t="shared" si="16"/>
        <v>12/31/2500</v>
      </c>
      <c r="P41" t="str">
        <f>"044446"</f>
        <v>044446</v>
      </c>
      <c r="R41">
        <v>-1</v>
      </c>
      <c r="S41" t="str">
        <f>"07/01/2026"</f>
        <v>07/01/2026</v>
      </c>
      <c r="T41" t="str">
        <f t="shared" si="17"/>
        <v>12/31/2500</v>
      </c>
      <c r="U41" t="s">
        <v>96</v>
      </c>
      <c r="V41" t="s">
        <v>97</v>
      </c>
      <c r="W41" t="str">
        <f t="shared" si="11"/>
        <v>044446</v>
      </c>
      <c r="X41" t="str">
        <f t="shared" si="11"/>
        <v>044446</v>
      </c>
      <c r="Y41" t="s">
        <v>96</v>
      </c>
      <c r="Z41" t="s">
        <v>98</v>
      </c>
      <c r="AA41" t="s">
        <v>38</v>
      </c>
    </row>
    <row r="42" spans="1:27" hidden="1" x14ac:dyDescent="0.3">
      <c r="A42" t="str">
        <f t="shared" si="14"/>
        <v>044446</v>
      </c>
      <c r="B42" t="str">
        <f t="shared" si="8"/>
        <v>042440</v>
      </c>
      <c r="C42" t="s">
        <v>27</v>
      </c>
      <c r="D42" t="s">
        <v>189</v>
      </c>
      <c r="E42" t="str">
        <f>"000232945"</f>
        <v>000232945</v>
      </c>
      <c r="F42" t="s">
        <v>190</v>
      </c>
      <c r="G42" t="s">
        <v>191</v>
      </c>
      <c r="H42" t="s">
        <v>192</v>
      </c>
      <c r="I42" t="str">
        <f t="shared" si="15"/>
        <v>044446</v>
      </c>
      <c r="J42" t="s">
        <v>32</v>
      </c>
      <c r="K42" t="s">
        <v>93</v>
      </c>
      <c r="L42" t="s">
        <v>94</v>
      </c>
      <c r="M42" t="s">
        <v>95</v>
      </c>
      <c r="N42" t="str">
        <f>"08/31/2026"</f>
        <v>08/31/2026</v>
      </c>
      <c r="O42" t="str">
        <f t="shared" si="16"/>
        <v>12/31/2500</v>
      </c>
      <c r="P42" t="str">
        <f>"045922"</f>
        <v>045922</v>
      </c>
      <c r="R42">
        <v>-1</v>
      </c>
      <c r="S42" t="str">
        <f>"08/14/2026"</f>
        <v>08/14/2026</v>
      </c>
      <c r="T42" t="str">
        <f t="shared" si="17"/>
        <v>12/31/2500</v>
      </c>
      <c r="U42" t="s">
        <v>96</v>
      </c>
      <c r="V42" t="s">
        <v>97</v>
      </c>
      <c r="W42" t="str">
        <f t="shared" ref="W42:X61" si="18">"044446"</f>
        <v>044446</v>
      </c>
      <c r="X42" t="str">
        <f t="shared" si="18"/>
        <v>044446</v>
      </c>
      <c r="Y42" t="s">
        <v>96</v>
      </c>
      <c r="Z42" t="s">
        <v>98</v>
      </c>
      <c r="AA42" t="s">
        <v>38</v>
      </c>
    </row>
    <row r="43" spans="1:27" hidden="1" x14ac:dyDescent="0.3">
      <c r="A43" t="str">
        <f t="shared" si="14"/>
        <v>044446</v>
      </c>
      <c r="B43" t="str">
        <f t="shared" si="8"/>
        <v>042440</v>
      </c>
      <c r="C43" t="s">
        <v>27</v>
      </c>
      <c r="D43" t="s">
        <v>193</v>
      </c>
      <c r="E43" t="str">
        <f>"000232724"</f>
        <v>000232724</v>
      </c>
      <c r="F43" t="s">
        <v>194</v>
      </c>
      <c r="G43" t="s">
        <v>195</v>
      </c>
      <c r="H43" t="s">
        <v>196</v>
      </c>
      <c r="I43" t="str">
        <f t="shared" si="15"/>
        <v>044446</v>
      </c>
      <c r="J43" t="s">
        <v>32</v>
      </c>
      <c r="K43" t="s">
        <v>93</v>
      </c>
      <c r="L43" t="s">
        <v>94</v>
      </c>
      <c r="M43" t="s">
        <v>95</v>
      </c>
      <c r="N43" t="str">
        <f>"08/31/2026"</f>
        <v>08/31/2026</v>
      </c>
      <c r="O43" t="str">
        <f t="shared" si="16"/>
        <v>12/31/2500</v>
      </c>
      <c r="P43" t="str">
        <f t="shared" ref="P43:P49" si="19">"044446"</f>
        <v>044446</v>
      </c>
      <c r="R43">
        <v>-1</v>
      </c>
      <c r="S43" t="str">
        <f t="shared" ref="S43:S50" si="20">"07/01/2026"</f>
        <v>07/01/2026</v>
      </c>
      <c r="T43" t="str">
        <f t="shared" si="17"/>
        <v>12/31/2500</v>
      </c>
      <c r="U43" t="s">
        <v>96</v>
      </c>
      <c r="V43" t="s">
        <v>97</v>
      </c>
      <c r="W43" t="str">
        <f t="shared" si="18"/>
        <v>044446</v>
      </c>
      <c r="X43" t="str">
        <f t="shared" si="18"/>
        <v>044446</v>
      </c>
      <c r="Y43" t="s">
        <v>96</v>
      </c>
      <c r="Z43" t="s">
        <v>98</v>
      </c>
      <c r="AA43" t="s">
        <v>38</v>
      </c>
    </row>
    <row r="44" spans="1:27" hidden="1" x14ac:dyDescent="0.3">
      <c r="A44" t="str">
        <f t="shared" si="14"/>
        <v>044446</v>
      </c>
      <c r="B44" t="str">
        <f t="shared" si="8"/>
        <v>042440</v>
      </c>
      <c r="C44" t="s">
        <v>27</v>
      </c>
      <c r="D44" t="s">
        <v>197</v>
      </c>
      <c r="E44" t="str">
        <f>"000232905"</f>
        <v>000232905</v>
      </c>
      <c r="F44" t="s">
        <v>198</v>
      </c>
      <c r="G44" t="s">
        <v>199</v>
      </c>
      <c r="H44" t="s">
        <v>200</v>
      </c>
      <c r="I44" t="str">
        <f t="shared" si="15"/>
        <v>044446</v>
      </c>
      <c r="J44" t="s">
        <v>32</v>
      </c>
      <c r="K44" t="s">
        <v>93</v>
      </c>
      <c r="L44" t="s">
        <v>94</v>
      </c>
      <c r="M44" t="s">
        <v>95</v>
      </c>
      <c r="N44" t="str">
        <f>"08/31/2026"</f>
        <v>08/31/2026</v>
      </c>
      <c r="O44" t="str">
        <f t="shared" si="16"/>
        <v>12/31/2500</v>
      </c>
      <c r="P44" t="str">
        <f t="shared" si="19"/>
        <v>044446</v>
      </c>
      <c r="R44">
        <v>-1</v>
      </c>
      <c r="S44" t="str">
        <f t="shared" si="20"/>
        <v>07/01/2026</v>
      </c>
      <c r="T44" t="str">
        <f t="shared" si="17"/>
        <v>12/31/2500</v>
      </c>
      <c r="U44" t="s">
        <v>96</v>
      </c>
      <c r="V44" t="s">
        <v>97</v>
      </c>
      <c r="W44" t="str">
        <f t="shared" si="18"/>
        <v>044446</v>
      </c>
      <c r="X44" t="str">
        <f t="shared" si="18"/>
        <v>044446</v>
      </c>
      <c r="Y44" t="s">
        <v>96</v>
      </c>
      <c r="Z44" t="s">
        <v>98</v>
      </c>
      <c r="AA44" t="s">
        <v>38</v>
      </c>
    </row>
    <row r="45" spans="1:27" hidden="1" x14ac:dyDescent="0.3">
      <c r="A45" t="str">
        <f t="shared" si="14"/>
        <v>044446</v>
      </c>
      <c r="B45" t="str">
        <f t="shared" si="8"/>
        <v>042440</v>
      </c>
      <c r="C45" t="s">
        <v>27</v>
      </c>
      <c r="D45" t="s">
        <v>201</v>
      </c>
      <c r="E45" t="str">
        <f>"000232890"</f>
        <v>000232890</v>
      </c>
      <c r="F45" t="s">
        <v>202</v>
      </c>
      <c r="G45" t="s">
        <v>203</v>
      </c>
      <c r="H45" t="s">
        <v>118</v>
      </c>
      <c r="I45" t="str">
        <f t="shared" si="15"/>
        <v>044446</v>
      </c>
      <c r="J45" t="s">
        <v>32</v>
      </c>
      <c r="K45" t="s">
        <v>93</v>
      </c>
      <c r="L45" t="s">
        <v>94</v>
      </c>
      <c r="M45" t="s">
        <v>95</v>
      </c>
      <c r="N45" t="str">
        <f t="shared" ref="N45:N58" si="21">"09/01/2026"</f>
        <v>09/01/2026</v>
      </c>
      <c r="O45" t="str">
        <f t="shared" si="16"/>
        <v>12/31/2500</v>
      </c>
      <c r="P45" t="str">
        <f t="shared" si="19"/>
        <v>044446</v>
      </c>
      <c r="R45">
        <v>-1</v>
      </c>
      <c r="S45" t="str">
        <f t="shared" si="20"/>
        <v>07/01/2026</v>
      </c>
      <c r="T45" t="str">
        <f t="shared" si="17"/>
        <v>12/31/2500</v>
      </c>
      <c r="U45" t="s">
        <v>96</v>
      </c>
      <c r="V45" t="s">
        <v>97</v>
      </c>
      <c r="W45" t="str">
        <f t="shared" si="18"/>
        <v>044446</v>
      </c>
      <c r="X45" t="str">
        <f t="shared" si="18"/>
        <v>044446</v>
      </c>
      <c r="Y45" t="s">
        <v>96</v>
      </c>
      <c r="Z45" t="s">
        <v>204</v>
      </c>
      <c r="AA45" t="s">
        <v>38</v>
      </c>
    </row>
    <row r="46" spans="1:27" hidden="1" x14ac:dyDescent="0.3">
      <c r="A46" t="str">
        <f t="shared" si="14"/>
        <v>044446</v>
      </c>
      <c r="B46" t="str">
        <f t="shared" si="8"/>
        <v>042440</v>
      </c>
      <c r="C46" t="s">
        <v>27</v>
      </c>
      <c r="D46" t="s">
        <v>205</v>
      </c>
      <c r="E46" t="str">
        <f>"000232891"</f>
        <v>000232891</v>
      </c>
      <c r="F46" t="s">
        <v>206</v>
      </c>
      <c r="G46" t="s">
        <v>207</v>
      </c>
      <c r="H46" t="s">
        <v>208</v>
      </c>
      <c r="I46" t="str">
        <f t="shared" si="15"/>
        <v>044446</v>
      </c>
      <c r="J46" t="s">
        <v>32</v>
      </c>
      <c r="K46" t="s">
        <v>93</v>
      </c>
      <c r="L46" t="s">
        <v>94</v>
      </c>
      <c r="M46" t="s">
        <v>95</v>
      </c>
      <c r="N46" t="str">
        <f t="shared" si="21"/>
        <v>09/01/2026</v>
      </c>
      <c r="O46" t="str">
        <f t="shared" si="16"/>
        <v>12/31/2500</v>
      </c>
      <c r="P46" t="str">
        <f t="shared" si="19"/>
        <v>044446</v>
      </c>
      <c r="R46">
        <v>-1</v>
      </c>
      <c r="S46" t="str">
        <f t="shared" si="20"/>
        <v>07/01/2026</v>
      </c>
      <c r="T46" t="str">
        <f t="shared" si="17"/>
        <v>12/31/2500</v>
      </c>
      <c r="U46" t="s">
        <v>96</v>
      </c>
      <c r="V46" t="s">
        <v>97</v>
      </c>
      <c r="W46" t="str">
        <f t="shared" si="18"/>
        <v>044446</v>
      </c>
      <c r="X46" t="str">
        <f t="shared" si="18"/>
        <v>044446</v>
      </c>
      <c r="Y46" t="s">
        <v>96</v>
      </c>
      <c r="Z46" t="s">
        <v>204</v>
      </c>
      <c r="AA46" t="s">
        <v>38</v>
      </c>
    </row>
    <row r="47" spans="1:27" hidden="1" x14ac:dyDescent="0.3">
      <c r="A47" t="str">
        <f t="shared" si="14"/>
        <v>044446</v>
      </c>
      <c r="B47" t="str">
        <f t="shared" si="8"/>
        <v>042440</v>
      </c>
      <c r="C47" t="s">
        <v>27</v>
      </c>
      <c r="D47" t="s">
        <v>209</v>
      </c>
      <c r="E47" t="str">
        <f>"000232894"</f>
        <v>000232894</v>
      </c>
      <c r="F47" t="s">
        <v>210</v>
      </c>
      <c r="G47" t="s">
        <v>211</v>
      </c>
      <c r="H47" t="s">
        <v>109</v>
      </c>
      <c r="I47" t="str">
        <f t="shared" si="15"/>
        <v>044446</v>
      </c>
      <c r="J47" t="s">
        <v>32</v>
      </c>
      <c r="K47" t="s">
        <v>93</v>
      </c>
      <c r="L47" t="s">
        <v>94</v>
      </c>
      <c r="M47" t="s">
        <v>95</v>
      </c>
      <c r="N47" t="str">
        <f t="shared" si="21"/>
        <v>09/01/2026</v>
      </c>
      <c r="O47" t="str">
        <f t="shared" si="16"/>
        <v>12/31/2500</v>
      </c>
      <c r="P47" t="str">
        <f t="shared" si="19"/>
        <v>044446</v>
      </c>
      <c r="R47">
        <v>-1</v>
      </c>
      <c r="S47" t="str">
        <f t="shared" si="20"/>
        <v>07/01/2026</v>
      </c>
      <c r="T47" t="str">
        <f t="shared" si="17"/>
        <v>12/31/2500</v>
      </c>
      <c r="U47" t="s">
        <v>96</v>
      </c>
      <c r="V47" t="s">
        <v>97</v>
      </c>
      <c r="W47" t="str">
        <f t="shared" si="18"/>
        <v>044446</v>
      </c>
      <c r="X47" t="str">
        <f t="shared" si="18"/>
        <v>044446</v>
      </c>
      <c r="Y47" t="s">
        <v>96</v>
      </c>
      <c r="Z47" t="s">
        <v>204</v>
      </c>
      <c r="AA47" t="s">
        <v>38</v>
      </c>
    </row>
    <row r="48" spans="1:27" hidden="1" x14ac:dyDescent="0.3">
      <c r="A48" t="str">
        <f t="shared" si="14"/>
        <v>044446</v>
      </c>
      <c r="B48" t="str">
        <f t="shared" si="8"/>
        <v>042440</v>
      </c>
      <c r="C48" t="s">
        <v>27</v>
      </c>
      <c r="D48" t="s">
        <v>212</v>
      </c>
      <c r="E48" t="str">
        <f>"000232895"</f>
        <v>000232895</v>
      </c>
      <c r="F48" t="s">
        <v>213</v>
      </c>
      <c r="G48" t="s">
        <v>214</v>
      </c>
      <c r="H48" t="s">
        <v>215</v>
      </c>
      <c r="I48" t="str">
        <f t="shared" si="15"/>
        <v>044446</v>
      </c>
      <c r="J48" t="s">
        <v>32</v>
      </c>
      <c r="K48" t="s">
        <v>93</v>
      </c>
      <c r="L48" t="s">
        <v>94</v>
      </c>
      <c r="M48" t="s">
        <v>95</v>
      </c>
      <c r="N48" t="str">
        <f t="shared" si="21"/>
        <v>09/01/2026</v>
      </c>
      <c r="O48" t="str">
        <f t="shared" si="16"/>
        <v>12/31/2500</v>
      </c>
      <c r="P48" t="str">
        <f t="shared" si="19"/>
        <v>044446</v>
      </c>
      <c r="R48">
        <v>-1</v>
      </c>
      <c r="S48" t="str">
        <f t="shared" si="20"/>
        <v>07/01/2026</v>
      </c>
      <c r="T48" t="str">
        <f t="shared" si="17"/>
        <v>12/31/2500</v>
      </c>
      <c r="U48" t="s">
        <v>96</v>
      </c>
      <c r="V48" t="s">
        <v>97</v>
      </c>
      <c r="W48" t="str">
        <f t="shared" si="18"/>
        <v>044446</v>
      </c>
      <c r="X48" t="str">
        <f t="shared" si="18"/>
        <v>044446</v>
      </c>
      <c r="Y48" t="s">
        <v>96</v>
      </c>
      <c r="Z48" t="s">
        <v>204</v>
      </c>
      <c r="AA48" t="s">
        <v>38</v>
      </c>
    </row>
    <row r="49" spans="1:27" hidden="1" x14ac:dyDescent="0.3">
      <c r="A49" t="str">
        <f t="shared" si="14"/>
        <v>044446</v>
      </c>
      <c r="B49" t="str">
        <f t="shared" si="8"/>
        <v>042440</v>
      </c>
      <c r="C49" t="s">
        <v>27</v>
      </c>
      <c r="D49" t="s">
        <v>216</v>
      </c>
      <c r="E49" t="str">
        <f>"000232892"</f>
        <v>000232892</v>
      </c>
      <c r="F49" t="s">
        <v>217</v>
      </c>
      <c r="G49" t="s">
        <v>60</v>
      </c>
      <c r="H49" t="s">
        <v>218</v>
      </c>
      <c r="I49" t="str">
        <f t="shared" si="15"/>
        <v>044446</v>
      </c>
      <c r="J49" t="s">
        <v>32</v>
      </c>
      <c r="K49" t="s">
        <v>93</v>
      </c>
      <c r="L49" t="s">
        <v>94</v>
      </c>
      <c r="M49" t="s">
        <v>95</v>
      </c>
      <c r="N49" t="str">
        <f t="shared" si="21"/>
        <v>09/01/2026</v>
      </c>
      <c r="O49" t="str">
        <f t="shared" si="16"/>
        <v>12/31/2500</v>
      </c>
      <c r="P49" t="str">
        <f t="shared" si="19"/>
        <v>044446</v>
      </c>
      <c r="R49">
        <v>-1</v>
      </c>
      <c r="S49" t="str">
        <f t="shared" si="20"/>
        <v>07/01/2026</v>
      </c>
      <c r="T49" t="str">
        <f t="shared" si="17"/>
        <v>12/31/2500</v>
      </c>
      <c r="U49" t="s">
        <v>96</v>
      </c>
      <c r="V49" t="s">
        <v>97</v>
      </c>
      <c r="W49" t="str">
        <f t="shared" si="18"/>
        <v>044446</v>
      </c>
      <c r="X49" t="str">
        <f t="shared" si="18"/>
        <v>044446</v>
      </c>
      <c r="Y49" t="s">
        <v>96</v>
      </c>
      <c r="Z49" t="s">
        <v>204</v>
      </c>
      <c r="AA49" t="s">
        <v>38</v>
      </c>
    </row>
    <row r="50" spans="1:27" hidden="1" x14ac:dyDescent="0.3">
      <c r="A50" t="str">
        <f t="shared" si="14"/>
        <v>044446</v>
      </c>
      <c r="B50" t="str">
        <f t="shared" si="8"/>
        <v>042440</v>
      </c>
      <c r="C50" t="s">
        <v>27</v>
      </c>
      <c r="D50" t="s">
        <v>219</v>
      </c>
      <c r="E50" t="str">
        <f>"000232897"</f>
        <v>000232897</v>
      </c>
      <c r="F50" t="s">
        <v>220</v>
      </c>
      <c r="G50" t="s">
        <v>221</v>
      </c>
      <c r="H50" t="s">
        <v>222</v>
      </c>
      <c r="I50" t="str">
        <f t="shared" si="15"/>
        <v>044446</v>
      </c>
      <c r="J50" t="s">
        <v>32</v>
      </c>
      <c r="K50" t="s">
        <v>93</v>
      </c>
      <c r="L50" t="s">
        <v>94</v>
      </c>
      <c r="M50" t="s">
        <v>95</v>
      </c>
      <c r="N50" t="str">
        <f t="shared" si="21"/>
        <v>09/01/2026</v>
      </c>
      <c r="O50" t="str">
        <f t="shared" si="16"/>
        <v>12/31/2500</v>
      </c>
      <c r="P50" t="str">
        <f>"044248"</f>
        <v>044248</v>
      </c>
      <c r="R50">
        <v>-1</v>
      </c>
      <c r="S50" t="str">
        <f t="shared" si="20"/>
        <v>07/01/2026</v>
      </c>
      <c r="T50" t="str">
        <f t="shared" si="17"/>
        <v>12/31/2500</v>
      </c>
      <c r="U50" t="s">
        <v>96</v>
      </c>
      <c r="V50" t="s">
        <v>97</v>
      </c>
      <c r="W50" t="str">
        <f t="shared" si="18"/>
        <v>044446</v>
      </c>
      <c r="X50" t="str">
        <f t="shared" si="18"/>
        <v>044446</v>
      </c>
      <c r="Y50" t="s">
        <v>96</v>
      </c>
      <c r="Z50" t="s">
        <v>204</v>
      </c>
      <c r="AA50" t="s">
        <v>38</v>
      </c>
    </row>
    <row r="51" spans="1:27" hidden="1" x14ac:dyDescent="0.3">
      <c r="A51" t="str">
        <f t="shared" si="14"/>
        <v>044446</v>
      </c>
      <c r="B51" t="str">
        <f t="shared" si="8"/>
        <v>042440</v>
      </c>
      <c r="C51" t="s">
        <v>27</v>
      </c>
      <c r="D51" t="s">
        <v>223</v>
      </c>
      <c r="E51" t="str">
        <f>"000232948"</f>
        <v>000232948</v>
      </c>
      <c r="F51" t="s">
        <v>67</v>
      </c>
      <c r="G51" t="s">
        <v>224</v>
      </c>
      <c r="H51" t="s">
        <v>110</v>
      </c>
      <c r="I51" t="str">
        <f t="shared" si="15"/>
        <v>044446</v>
      </c>
      <c r="J51" t="s">
        <v>32</v>
      </c>
      <c r="K51" t="s">
        <v>93</v>
      </c>
      <c r="L51" t="s">
        <v>94</v>
      </c>
      <c r="M51" t="s">
        <v>95</v>
      </c>
      <c r="N51" t="str">
        <f t="shared" si="21"/>
        <v>09/01/2026</v>
      </c>
      <c r="O51" t="str">
        <f t="shared" si="16"/>
        <v>12/31/2500</v>
      </c>
      <c r="P51" t="str">
        <f t="shared" ref="P51:P61" si="22">"044446"</f>
        <v>044446</v>
      </c>
      <c r="R51">
        <v>-1</v>
      </c>
      <c r="S51" t="str">
        <f>"08/17/2026"</f>
        <v>08/17/2026</v>
      </c>
      <c r="T51" t="str">
        <f t="shared" si="17"/>
        <v>12/31/2500</v>
      </c>
      <c r="U51" t="s">
        <v>96</v>
      </c>
      <c r="V51" t="s">
        <v>97</v>
      </c>
      <c r="W51" t="str">
        <f t="shared" si="18"/>
        <v>044446</v>
      </c>
      <c r="X51" t="str">
        <f t="shared" si="18"/>
        <v>044446</v>
      </c>
      <c r="Y51" t="s">
        <v>96</v>
      </c>
      <c r="Z51" t="s">
        <v>204</v>
      </c>
      <c r="AA51" t="s">
        <v>38</v>
      </c>
    </row>
    <row r="52" spans="1:27" hidden="1" x14ac:dyDescent="0.3">
      <c r="A52" t="str">
        <f t="shared" si="14"/>
        <v>044446</v>
      </c>
      <c r="B52" t="str">
        <f t="shared" si="8"/>
        <v>042440</v>
      </c>
      <c r="C52" t="s">
        <v>27</v>
      </c>
      <c r="D52" t="s">
        <v>225</v>
      </c>
      <c r="E52" t="str">
        <f>"000232898"</f>
        <v>000232898</v>
      </c>
      <c r="F52" t="s">
        <v>226</v>
      </c>
      <c r="G52" t="s">
        <v>227</v>
      </c>
      <c r="H52" t="s">
        <v>88</v>
      </c>
      <c r="I52" t="str">
        <f t="shared" si="15"/>
        <v>044446</v>
      </c>
      <c r="J52" t="s">
        <v>32</v>
      </c>
      <c r="K52" t="s">
        <v>93</v>
      </c>
      <c r="L52" t="s">
        <v>94</v>
      </c>
      <c r="M52" t="s">
        <v>95</v>
      </c>
      <c r="N52" t="str">
        <f t="shared" si="21"/>
        <v>09/01/2026</v>
      </c>
      <c r="O52" t="str">
        <f t="shared" si="16"/>
        <v>12/31/2500</v>
      </c>
      <c r="P52" t="str">
        <f t="shared" si="22"/>
        <v>044446</v>
      </c>
      <c r="R52">
        <v>-1</v>
      </c>
      <c r="S52" t="str">
        <f>"07/01/2026"</f>
        <v>07/01/2026</v>
      </c>
      <c r="T52" t="str">
        <f t="shared" si="17"/>
        <v>12/31/2500</v>
      </c>
      <c r="U52" t="s">
        <v>96</v>
      </c>
      <c r="V52" t="s">
        <v>97</v>
      </c>
      <c r="W52" t="str">
        <f t="shared" si="18"/>
        <v>044446</v>
      </c>
      <c r="X52" t="str">
        <f t="shared" si="18"/>
        <v>044446</v>
      </c>
      <c r="Y52" t="s">
        <v>96</v>
      </c>
      <c r="Z52" t="s">
        <v>204</v>
      </c>
      <c r="AA52" t="s">
        <v>38</v>
      </c>
    </row>
    <row r="53" spans="1:27" hidden="1" x14ac:dyDescent="0.3">
      <c r="A53" t="str">
        <f t="shared" si="14"/>
        <v>044446</v>
      </c>
      <c r="B53" t="str">
        <f t="shared" si="8"/>
        <v>042440</v>
      </c>
      <c r="C53" t="s">
        <v>27</v>
      </c>
      <c r="D53" t="s">
        <v>228</v>
      </c>
      <c r="E53" t="str">
        <f>"000232904"</f>
        <v>000232904</v>
      </c>
      <c r="F53" t="s">
        <v>229</v>
      </c>
      <c r="G53" t="s">
        <v>125</v>
      </c>
      <c r="H53" t="s">
        <v>230</v>
      </c>
      <c r="I53" t="str">
        <f t="shared" si="15"/>
        <v>044446</v>
      </c>
      <c r="J53" t="s">
        <v>32</v>
      </c>
      <c r="K53" t="s">
        <v>93</v>
      </c>
      <c r="L53" t="s">
        <v>94</v>
      </c>
      <c r="M53" t="s">
        <v>95</v>
      </c>
      <c r="N53" t="str">
        <f t="shared" si="21"/>
        <v>09/01/2026</v>
      </c>
      <c r="O53" t="str">
        <f t="shared" si="16"/>
        <v>12/31/2500</v>
      </c>
      <c r="P53" t="str">
        <f t="shared" si="22"/>
        <v>044446</v>
      </c>
      <c r="R53">
        <v>-1</v>
      </c>
      <c r="S53" t="str">
        <f>"07/01/2026"</f>
        <v>07/01/2026</v>
      </c>
      <c r="T53" t="str">
        <f t="shared" si="17"/>
        <v>12/31/2500</v>
      </c>
      <c r="U53" t="s">
        <v>96</v>
      </c>
      <c r="V53" t="s">
        <v>97</v>
      </c>
      <c r="W53" t="str">
        <f t="shared" si="18"/>
        <v>044446</v>
      </c>
      <c r="X53" t="str">
        <f t="shared" si="18"/>
        <v>044446</v>
      </c>
      <c r="Y53" t="s">
        <v>96</v>
      </c>
      <c r="Z53" t="s">
        <v>204</v>
      </c>
      <c r="AA53" t="s">
        <v>38</v>
      </c>
    </row>
    <row r="54" spans="1:27" hidden="1" x14ac:dyDescent="0.3">
      <c r="A54" t="str">
        <f t="shared" si="14"/>
        <v>044446</v>
      </c>
      <c r="B54" t="str">
        <f t="shared" si="8"/>
        <v>042440</v>
      </c>
      <c r="C54" t="s">
        <v>27</v>
      </c>
      <c r="D54" t="s">
        <v>231</v>
      </c>
      <c r="E54" t="str">
        <f>"000232720"</f>
        <v>000232720</v>
      </c>
      <c r="F54" t="s">
        <v>232</v>
      </c>
      <c r="G54" t="s">
        <v>233</v>
      </c>
      <c r="H54" t="s">
        <v>234</v>
      </c>
      <c r="I54" t="str">
        <f t="shared" si="15"/>
        <v>044446</v>
      </c>
      <c r="J54" t="s">
        <v>32</v>
      </c>
      <c r="K54" t="s">
        <v>93</v>
      </c>
      <c r="L54" t="s">
        <v>94</v>
      </c>
      <c r="M54" t="s">
        <v>95</v>
      </c>
      <c r="N54" t="str">
        <f t="shared" si="21"/>
        <v>09/01/2026</v>
      </c>
      <c r="O54" t="str">
        <f t="shared" si="16"/>
        <v>12/31/2500</v>
      </c>
      <c r="P54" t="str">
        <f t="shared" si="22"/>
        <v>044446</v>
      </c>
      <c r="R54">
        <v>-1</v>
      </c>
      <c r="S54" t="str">
        <f>"07/01/2026"</f>
        <v>07/01/2026</v>
      </c>
      <c r="T54" t="str">
        <f t="shared" si="17"/>
        <v>12/31/2500</v>
      </c>
      <c r="U54" t="s">
        <v>96</v>
      </c>
      <c r="V54" t="s">
        <v>97</v>
      </c>
      <c r="W54" t="str">
        <f t="shared" si="18"/>
        <v>044446</v>
      </c>
      <c r="X54" t="str">
        <f t="shared" si="18"/>
        <v>044446</v>
      </c>
      <c r="Y54" t="s">
        <v>96</v>
      </c>
      <c r="Z54" t="s">
        <v>204</v>
      </c>
      <c r="AA54" t="s">
        <v>38</v>
      </c>
    </row>
    <row r="55" spans="1:27" hidden="1" x14ac:dyDescent="0.3">
      <c r="A55" t="str">
        <f t="shared" si="14"/>
        <v>044446</v>
      </c>
      <c r="B55" t="str">
        <f t="shared" si="8"/>
        <v>042440</v>
      </c>
      <c r="C55" t="s">
        <v>27</v>
      </c>
      <c r="D55" t="s">
        <v>235</v>
      </c>
      <c r="E55" t="str">
        <f>"000232893"</f>
        <v>000232893</v>
      </c>
      <c r="F55" t="s">
        <v>236</v>
      </c>
      <c r="G55" t="s">
        <v>237</v>
      </c>
      <c r="H55" t="s">
        <v>238</v>
      </c>
      <c r="I55" t="str">
        <f t="shared" si="15"/>
        <v>044446</v>
      </c>
      <c r="J55" t="s">
        <v>32</v>
      </c>
      <c r="K55" t="s">
        <v>93</v>
      </c>
      <c r="L55" t="s">
        <v>94</v>
      </c>
      <c r="M55" t="s">
        <v>95</v>
      </c>
      <c r="N55" t="str">
        <f t="shared" si="21"/>
        <v>09/01/2026</v>
      </c>
      <c r="O55" t="str">
        <f t="shared" si="16"/>
        <v>12/31/2500</v>
      </c>
      <c r="P55" t="str">
        <f t="shared" si="22"/>
        <v>044446</v>
      </c>
      <c r="R55">
        <v>-1</v>
      </c>
      <c r="S55" t="str">
        <f>"07/01/2026"</f>
        <v>07/01/2026</v>
      </c>
      <c r="T55" t="str">
        <f t="shared" si="17"/>
        <v>12/31/2500</v>
      </c>
      <c r="U55" t="s">
        <v>96</v>
      </c>
      <c r="V55" t="s">
        <v>97</v>
      </c>
      <c r="W55" t="str">
        <f t="shared" si="18"/>
        <v>044446</v>
      </c>
      <c r="X55" t="str">
        <f t="shared" si="18"/>
        <v>044446</v>
      </c>
      <c r="Y55" t="s">
        <v>96</v>
      </c>
      <c r="Z55" t="s">
        <v>204</v>
      </c>
      <c r="AA55" t="s">
        <v>38</v>
      </c>
    </row>
    <row r="56" spans="1:27" hidden="1" x14ac:dyDescent="0.3">
      <c r="A56" t="str">
        <f t="shared" si="14"/>
        <v>044446</v>
      </c>
      <c r="B56" t="str">
        <f t="shared" si="8"/>
        <v>042440</v>
      </c>
      <c r="C56" t="s">
        <v>27</v>
      </c>
      <c r="D56" t="s">
        <v>239</v>
      </c>
      <c r="E56" t="str">
        <f>"000232902"</f>
        <v>000232902</v>
      </c>
      <c r="F56" t="s">
        <v>240</v>
      </c>
      <c r="G56" t="s">
        <v>241</v>
      </c>
      <c r="H56" t="s">
        <v>242</v>
      </c>
      <c r="I56" t="str">
        <f t="shared" si="15"/>
        <v>044446</v>
      </c>
      <c r="J56" t="s">
        <v>32</v>
      </c>
      <c r="K56" t="s">
        <v>93</v>
      </c>
      <c r="L56" t="s">
        <v>94</v>
      </c>
      <c r="M56" t="s">
        <v>95</v>
      </c>
      <c r="N56" t="str">
        <f t="shared" si="21"/>
        <v>09/01/2026</v>
      </c>
      <c r="O56" t="str">
        <f t="shared" si="16"/>
        <v>12/31/2500</v>
      </c>
      <c r="P56" t="str">
        <f t="shared" si="22"/>
        <v>044446</v>
      </c>
      <c r="R56">
        <v>-1</v>
      </c>
      <c r="S56" t="str">
        <f>"07/01/2026"</f>
        <v>07/01/2026</v>
      </c>
      <c r="T56" t="str">
        <f t="shared" si="17"/>
        <v>12/31/2500</v>
      </c>
      <c r="U56" t="s">
        <v>96</v>
      </c>
      <c r="V56" t="s">
        <v>97</v>
      </c>
      <c r="W56" t="str">
        <f t="shared" si="18"/>
        <v>044446</v>
      </c>
      <c r="X56" t="str">
        <f t="shared" si="18"/>
        <v>044446</v>
      </c>
      <c r="Y56" t="s">
        <v>96</v>
      </c>
      <c r="Z56" t="s">
        <v>204</v>
      </c>
      <c r="AA56" t="s">
        <v>38</v>
      </c>
    </row>
    <row r="57" spans="1:27" hidden="1" x14ac:dyDescent="0.3">
      <c r="A57" t="str">
        <f t="shared" si="14"/>
        <v>044446</v>
      </c>
      <c r="B57" t="str">
        <f t="shared" si="8"/>
        <v>042440</v>
      </c>
      <c r="C57" t="s">
        <v>27</v>
      </c>
      <c r="D57" t="s">
        <v>243</v>
      </c>
      <c r="E57" t="str">
        <f>"000232941"</f>
        <v>000232941</v>
      </c>
      <c r="F57" t="s">
        <v>244</v>
      </c>
      <c r="G57" t="s">
        <v>245</v>
      </c>
      <c r="H57" t="s">
        <v>246</v>
      </c>
      <c r="I57" t="str">
        <f t="shared" si="15"/>
        <v>044446</v>
      </c>
      <c r="J57" t="s">
        <v>32</v>
      </c>
      <c r="K57" t="s">
        <v>93</v>
      </c>
      <c r="L57" t="s">
        <v>94</v>
      </c>
      <c r="M57" t="s">
        <v>95</v>
      </c>
      <c r="N57" t="str">
        <f t="shared" si="21"/>
        <v>09/01/2026</v>
      </c>
      <c r="O57" t="str">
        <f t="shared" si="16"/>
        <v>12/31/2500</v>
      </c>
      <c r="P57" t="str">
        <f t="shared" si="22"/>
        <v>044446</v>
      </c>
      <c r="R57">
        <v>-1</v>
      </c>
      <c r="S57" t="str">
        <f>"08/12/2026"</f>
        <v>08/12/2026</v>
      </c>
      <c r="T57" t="str">
        <f t="shared" si="17"/>
        <v>12/31/2500</v>
      </c>
      <c r="U57" t="s">
        <v>96</v>
      </c>
      <c r="V57" t="s">
        <v>97</v>
      </c>
      <c r="W57" t="str">
        <f t="shared" si="18"/>
        <v>044446</v>
      </c>
      <c r="X57" t="str">
        <f t="shared" si="18"/>
        <v>044446</v>
      </c>
      <c r="Y57" t="s">
        <v>96</v>
      </c>
      <c r="Z57" t="s">
        <v>204</v>
      </c>
      <c r="AA57" t="s">
        <v>38</v>
      </c>
    </row>
    <row r="58" spans="1:27" hidden="1" x14ac:dyDescent="0.3">
      <c r="A58" t="str">
        <f t="shared" si="14"/>
        <v>044446</v>
      </c>
      <c r="B58" t="str">
        <f t="shared" si="8"/>
        <v>042440</v>
      </c>
      <c r="C58" t="s">
        <v>27</v>
      </c>
      <c r="D58" t="s">
        <v>247</v>
      </c>
      <c r="E58" t="str">
        <f>"000232900"</f>
        <v>000232900</v>
      </c>
      <c r="F58" t="s">
        <v>248</v>
      </c>
      <c r="G58" t="s">
        <v>249</v>
      </c>
      <c r="H58" t="s">
        <v>88</v>
      </c>
      <c r="I58" t="str">
        <f t="shared" si="15"/>
        <v>044446</v>
      </c>
      <c r="J58" t="s">
        <v>32</v>
      </c>
      <c r="K58" t="s">
        <v>93</v>
      </c>
      <c r="L58" t="s">
        <v>94</v>
      </c>
      <c r="M58" t="s">
        <v>95</v>
      </c>
      <c r="N58" t="str">
        <f t="shared" si="21"/>
        <v>09/01/2026</v>
      </c>
      <c r="O58" t="str">
        <f t="shared" si="16"/>
        <v>12/31/2500</v>
      </c>
      <c r="P58" t="str">
        <f t="shared" si="22"/>
        <v>044446</v>
      </c>
      <c r="R58">
        <v>-1</v>
      </c>
      <c r="S58" t="str">
        <f>"07/01/2026"</f>
        <v>07/01/2026</v>
      </c>
      <c r="T58" t="str">
        <f t="shared" si="17"/>
        <v>12/31/2500</v>
      </c>
      <c r="U58" t="s">
        <v>96</v>
      </c>
      <c r="V58" t="s">
        <v>97</v>
      </c>
      <c r="W58" t="str">
        <f t="shared" si="18"/>
        <v>044446</v>
      </c>
      <c r="X58" t="str">
        <f t="shared" si="18"/>
        <v>044446</v>
      </c>
      <c r="Y58" t="s">
        <v>96</v>
      </c>
      <c r="Z58" t="s">
        <v>204</v>
      </c>
      <c r="AA58" t="s">
        <v>38</v>
      </c>
    </row>
    <row r="59" spans="1:27" x14ac:dyDescent="0.3">
      <c r="A59" s="2" t="str">
        <f t="shared" si="14"/>
        <v>044446</v>
      </c>
      <c r="B59" s="2" t="str">
        <f>"026567"</f>
        <v>026567</v>
      </c>
      <c r="C59" s="2" t="s">
        <v>250</v>
      </c>
      <c r="D59" s="2" t="s">
        <v>251</v>
      </c>
      <c r="E59" s="2" t="str">
        <f>"000231701"</f>
        <v>000231701</v>
      </c>
      <c r="F59" s="2" t="s">
        <v>252</v>
      </c>
      <c r="G59" s="2" t="s">
        <v>253</v>
      </c>
      <c r="H59" s="2"/>
      <c r="I59" s="2"/>
      <c r="J59" t="s">
        <v>32</v>
      </c>
      <c r="K59" t="s">
        <v>254</v>
      </c>
      <c r="L59" t="s">
        <v>255</v>
      </c>
      <c r="M59" t="s">
        <v>35</v>
      </c>
      <c r="N59" t="str">
        <f>"08/26/2026"</f>
        <v>08/26/2026</v>
      </c>
      <c r="O59" t="str">
        <f t="shared" si="16"/>
        <v>12/31/2500</v>
      </c>
      <c r="P59" s="2"/>
      <c r="R59">
        <v>-8.6207000000000006E-2</v>
      </c>
      <c r="S59" s="5" t="str">
        <f>"08/26/2026"</f>
        <v>08/26/2026</v>
      </c>
      <c r="T59" s="6" t="str">
        <f>"09/16/2026"</f>
        <v>09/16/2026</v>
      </c>
      <c r="U59" t="str">
        <f>"09"</f>
        <v>09</v>
      </c>
      <c r="V59" t="s">
        <v>36</v>
      </c>
      <c r="W59" s="2"/>
      <c r="X59" s="2"/>
      <c r="Y59" t="str">
        <f>"09"</f>
        <v>09</v>
      </c>
      <c r="Z59" t="s">
        <v>37</v>
      </c>
      <c r="AA59" t="s">
        <v>38</v>
      </c>
    </row>
    <row r="60" spans="1:27" x14ac:dyDescent="0.3">
      <c r="A60" s="2" t="str">
        <f t="shared" si="14"/>
        <v>044446</v>
      </c>
      <c r="B60" s="2" t="str">
        <f>"042440"</f>
        <v>042440</v>
      </c>
      <c r="C60" s="2" t="s">
        <v>250</v>
      </c>
      <c r="D60" s="2" t="s">
        <v>256</v>
      </c>
      <c r="E60" s="2" t="str">
        <f>"000232451"</f>
        <v>000232451</v>
      </c>
      <c r="F60" s="2" t="s">
        <v>257</v>
      </c>
      <c r="G60" s="2" t="s">
        <v>258</v>
      </c>
      <c r="H60" s="2"/>
      <c r="I60" s="2"/>
      <c r="J60" t="s">
        <v>32</v>
      </c>
      <c r="K60" t="s">
        <v>254</v>
      </c>
      <c r="L60" t="s">
        <v>255</v>
      </c>
      <c r="M60" t="s">
        <v>35</v>
      </c>
      <c r="N60" t="str">
        <f>"08/26/2026"</f>
        <v>08/26/2026</v>
      </c>
      <c r="O60" t="str">
        <f t="shared" si="16"/>
        <v>12/31/2500</v>
      </c>
      <c r="P60" s="2"/>
      <c r="R60">
        <v>-0.12069000000000001</v>
      </c>
      <c r="S60" s="7" t="str">
        <f>"08/26/2026"</f>
        <v>08/26/2026</v>
      </c>
      <c r="T60" s="8" t="str">
        <f>"09/24/2026"</f>
        <v>09/24/2026</v>
      </c>
      <c r="U60" t="str">
        <f>"05"</f>
        <v>05</v>
      </c>
      <c r="V60" t="s">
        <v>36</v>
      </c>
      <c r="W60" s="2"/>
      <c r="X60" s="2"/>
      <c r="Y60" t="str">
        <f>"05"</f>
        <v>05</v>
      </c>
      <c r="Z60" t="s">
        <v>37</v>
      </c>
      <c r="AA60" t="s">
        <v>38</v>
      </c>
    </row>
    <row r="61" spans="1:27" x14ac:dyDescent="0.3">
      <c r="A61" s="2" t="str">
        <f t="shared" si="14"/>
        <v>044446</v>
      </c>
      <c r="B61" s="2" t="str">
        <f>"042440"</f>
        <v>042440</v>
      </c>
      <c r="C61" s="2" t="s">
        <v>250</v>
      </c>
      <c r="D61" s="2" t="s">
        <v>259</v>
      </c>
      <c r="E61" s="2" t="str">
        <f>"000231958"</f>
        <v>000231958</v>
      </c>
      <c r="F61" s="2" t="s">
        <v>132</v>
      </c>
      <c r="G61" s="2" t="s">
        <v>260</v>
      </c>
      <c r="H61" s="2"/>
      <c r="I61" s="2"/>
      <c r="J61" t="s">
        <v>32</v>
      </c>
      <c r="K61" t="s">
        <v>254</v>
      </c>
      <c r="L61" t="s">
        <v>255</v>
      </c>
      <c r="M61" t="s">
        <v>35</v>
      </c>
      <c r="N61" t="str">
        <f>"08/26/2026"</f>
        <v>08/26/2026</v>
      </c>
      <c r="O61" t="str">
        <f t="shared" si="16"/>
        <v>12/31/2500</v>
      </c>
      <c r="P61" s="2"/>
      <c r="R61">
        <v>-0.86781600000000003</v>
      </c>
      <c r="S61" s="9" t="str">
        <f>"09/29/2026"</f>
        <v>09/29/2026</v>
      </c>
      <c r="T61" s="10" t="str">
        <f>"05/28/2027"</f>
        <v>05/28/2027</v>
      </c>
      <c r="U61" t="str">
        <f>"04"</f>
        <v>04</v>
      </c>
      <c r="V61" t="s">
        <v>36</v>
      </c>
      <c r="W61" s="2"/>
      <c r="X61" s="2"/>
      <c r="Y61" t="str">
        <f>"04"</f>
        <v>04</v>
      </c>
      <c r="Z61" t="s">
        <v>37</v>
      </c>
      <c r="AA61" t="s">
        <v>38</v>
      </c>
    </row>
    <row r="66" spans="10:12" x14ac:dyDescent="0.3">
      <c r="L66" s="11" t="s">
        <v>261</v>
      </c>
    </row>
    <row r="67" spans="10:12" x14ac:dyDescent="0.3">
      <c r="L67" t="s">
        <v>264</v>
      </c>
    </row>
    <row r="68" spans="10:12" x14ac:dyDescent="0.3">
      <c r="L68" t="s">
        <v>262</v>
      </c>
    </row>
    <row r="69" spans="10:12" x14ac:dyDescent="0.3">
      <c r="L69" t="s">
        <v>267</v>
      </c>
    </row>
    <row r="73" spans="10:12" x14ac:dyDescent="0.3">
      <c r="J73" t="s">
        <v>268</v>
      </c>
    </row>
    <row r="83" spans="10:13" x14ac:dyDescent="0.3">
      <c r="J83" t="s">
        <v>269</v>
      </c>
    </row>
    <row r="94" spans="10:13" x14ac:dyDescent="0.3">
      <c r="L94" s="11" t="s">
        <v>263</v>
      </c>
    </row>
    <row r="95" spans="10:13" x14ac:dyDescent="0.3">
      <c r="L95" t="s">
        <v>265</v>
      </c>
    </row>
    <row r="96" spans="10:13" x14ac:dyDescent="0.3">
      <c r="M96" t="s">
        <v>266</v>
      </c>
    </row>
    <row r="99" spans="10:10" x14ac:dyDescent="0.3">
      <c r="J99" t="s">
        <v>268</v>
      </c>
    </row>
    <row r="117" spans="10:10" x14ac:dyDescent="0.3">
      <c r="J117" t="s">
        <v>269</v>
      </c>
    </row>
    <row r="132" spans="10:26" x14ac:dyDescent="0.3">
      <c r="L132" s="11" t="s">
        <v>270</v>
      </c>
    </row>
    <row r="133" spans="10:26" x14ac:dyDescent="0.3">
      <c r="L133" s="12" t="s">
        <v>271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0:26" x14ac:dyDescent="0.3"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8" spans="10:26" x14ac:dyDescent="0.3">
      <c r="J138" t="s">
        <v>268</v>
      </c>
    </row>
    <row r="144" spans="10:26" x14ac:dyDescent="0.3">
      <c r="J144" t="s">
        <v>269</v>
      </c>
    </row>
    <row r="145" spans="17:17" x14ac:dyDescent="0.3">
      <c r="Q145" t="s">
        <v>272</v>
      </c>
    </row>
  </sheetData>
  <autoFilter ref="A1:AA61" xr:uid="{D6C23673-E0AB-4F66-8FC3-B1BB123BA4D9}">
    <filterColumn colId="11">
      <filters>
        <filter val="Disability - no IEP"/>
      </filters>
    </filterColumn>
  </autoFilter>
  <mergeCells count="1">
    <mergeCell ref="L133:Z134"/>
  </mergeCells>
  <pageMargins left="0.7" right="0.7" top="0.75" bottom="0.75" header="0.3" footer="0.3"/>
  <pageSetup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92068F343C34409106C8DC6CFDB071" ma:contentTypeVersion="19" ma:contentTypeDescription="Create a new document." ma:contentTypeScope="" ma:versionID="8f9e13fff731ab523764f7fb15435cca">
  <xsd:schema xmlns:xsd="http://www.w3.org/2001/XMLSchema" xmlns:xs="http://www.w3.org/2001/XMLSchema" xmlns:p="http://schemas.microsoft.com/office/2006/metadata/properties" xmlns:ns1="http://schemas.microsoft.com/sharepoint/v3" xmlns:ns2="d4f6b399-0471-4a5d-b4c6-cde7ffd8e541" xmlns:ns3="4de9d083-4f30-4605-ad55-6ba791e4689b" targetNamespace="http://schemas.microsoft.com/office/2006/metadata/properties" ma:root="true" ma:fieldsID="b8fc033676e78d2d9e77c937794d80dd" ns1:_="" ns2:_="" ns3:_="">
    <xsd:import namespace="http://schemas.microsoft.com/sharepoint/v3"/>
    <xsd:import namespace="d4f6b399-0471-4a5d-b4c6-cde7ffd8e541"/>
    <xsd:import namespace="4de9d083-4f30-4605-ad55-6ba791e468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6b399-0471-4a5d-b4c6-cde7ffd8e5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533d51f-3da8-44e1-aea1-f9645aaac0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9d083-4f30-4605-ad55-6ba791e4689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da4122c-6706-4959-a215-683c01946acd}" ma:internalName="TaxCatchAll" ma:showField="CatchAllData" ma:web="4de9d083-4f30-4605-ad55-6ba791e468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4f6b399-0471-4a5d-b4c6-cde7ffd8e541">
      <Terms xmlns="http://schemas.microsoft.com/office/infopath/2007/PartnerControls"/>
    </lcf76f155ced4ddcb4097134ff3c332f>
    <_ip_UnifiedCompliancePolicyProperties xmlns="http://schemas.microsoft.com/sharepoint/v3" xsi:nil="true"/>
    <TaxCatchAll xmlns="4de9d083-4f30-4605-ad55-6ba791e4689b" xsi:nil="true"/>
  </documentManagement>
</p:properties>
</file>

<file path=customXml/itemProps1.xml><?xml version="1.0" encoding="utf-8"?>
<ds:datastoreItem xmlns:ds="http://schemas.openxmlformats.org/officeDocument/2006/customXml" ds:itemID="{8261304F-17EB-4F55-A21F-FA894E889DE8}"/>
</file>

<file path=customXml/itemProps2.xml><?xml version="1.0" encoding="utf-8"?>
<ds:datastoreItem xmlns:ds="http://schemas.openxmlformats.org/officeDocument/2006/customXml" ds:itemID="{8ADC5EA4-F9BD-4276-B445-E72DEA16196E}"/>
</file>

<file path=customXml/itemProps3.xml><?xml version="1.0" encoding="utf-8"?>
<ds:datastoreItem xmlns:ds="http://schemas.openxmlformats.org/officeDocument/2006/customXml" ds:itemID="{004E05FF-9122-4462-AB60-2B7415268A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(FTED-003) FTE Adjustment044446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Edwards</dc:creator>
  <cp:lastModifiedBy>Cathy Edwards</cp:lastModifiedBy>
  <dcterms:created xsi:type="dcterms:W3CDTF">2026-10-27T17:09:05Z</dcterms:created>
  <dcterms:modified xsi:type="dcterms:W3CDTF">2026-10-29T12:31:19Z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0x0101006392068F343C34409106C8DC6CFDB071</vt:lpwstr>
  </property>
</Properties>
</file>